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workbookProtection workbookAlgorithmName="SHA-512" workbookHashValue="5j4i7Cq7DwPcBvYQflXlMyn9kR4K7g2aI5jfG+KxwuiDtej8cqsjwtt5sK5b4rIeoXEFDzLYgJxAFiFs508zTA==" workbookSaltValue="8Hvn/EdTfbTxm+HziQldYw==" workbookSpinCount="100000" lockStructure="1"/>
  <bookViews>
    <workbookView xWindow="0" yWindow="0" windowWidth="20490" windowHeight="9045" firstSheet="2" activeTab="3"/>
  </bookViews>
  <sheets>
    <sheet name="T" sheetId="1" state="hidden" r:id="rId1"/>
    <sheet name="DB" sheetId="4" state="hidden" r:id="rId2"/>
    <sheet name="Settings" sheetId="2" r:id="rId3"/>
    <sheet name="2018 World Cup" sheetId="3" r:id="rId4"/>
    <sheet name="Statistics" sheetId="5" r:id="rId5"/>
  </sheets>
  <definedNames>
    <definedName name="db">DB!$D:$AE</definedName>
    <definedName name="db_fifarank">Settings!$B$17:$C$48</definedName>
    <definedName name="db_t1" localSheetId="4">DB!$A:$N</definedName>
    <definedName name="db_t1">DB!$A:$N</definedName>
    <definedName name="db_t1_vs_t2" localSheetId="4">DB!$C:$N</definedName>
    <definedName name="db_t1_vs_t2">DB!$C:$N</definedName>
    <definedName name="db_t2" localSheetId="4">DB!$B:$N</definedName>
    <definedName name="db_t2">DB!$B:$N</definedName>
    <definedName name="gmt_delta">Settings!$G$16</definedName>
    <definedName name="lang">Settings!$G$15</definedName>
    <definedName name="lang_list">T!$1:$1</definedName>
    <definedName name="my_team">Settings!$I$15</definedName>
    <definedName name="T">T!$1:$1048576</definedName>
    <definedName name="t1_dif" localSheetId="4">DB!$W:$W</definedName>
    <definedName name="t1_dif">DB!$W:$W</definedName>
    <definedName name="t1_draw" localSheetId="4">DB!$T:$T</definedName>
    <definedName name="t1_draw">DB!$T:$T</definedName>
    <definedName name="t1_lose" localSheetId="4">DB!$U:$U</definedName>
    <definedName name="t1_lose">DB!$U:$U</definedName>
    <definedName name="t1_total">DB!$V:$V</definedName>
    <definedName name="t1_win" localSheetId="4">DB!$S:$S</definedName>
    <definedName name="t1_win">DB!$S:$S</definedName>
    <definedName name="t2_dif" localSheetId="4">DB!$AD:$AD</definedName>
    <definedName name="t2_dif">DB!$AD:$AD</definedName>
    <definedName name="t2_draw" localSheetId="4">DB!$AA:$AA</definedName>
    <definedName name="t2_draw">DB!$AA:$AA</definedName>
    <definedName name="t2_lose" localSheetId="4">DB!$AB:$AB</definedName>
    <definedName name="t2_lose">DB!$AB:$AB</definedName>
    <definedName name="t2_total">DB!$AC:$AC</definedName>
    <definedName name="t2_win" localSheetId="4">DB!$Z:$Z</definedName>
    <definedName name="t2_win">DB!$Z:$Z</definedName>
    <definedName name="team" localSheetId="4">DB!$AG$2:$AG$72</definedName>
    <definedName name="team">DB!$AG$2:$AG$72</definedName>
    <definedName name="team1">Statistics!$B$3</definedName>
    <definedName name="team2">Statistics!$E$3</definedName>
    <definedName name="teams">Settings!$I$17:$I$48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5" l="1"/>
  <c r="B11" i="5"/>
  <c r="Y876" i="4"/>
  <c r="X876" i="4"/>
  <c r="R876" i="4"/>
  <c r="Q876" i="4"/>
  <c r="J876" i="4"/>
  <c r="I876" i="4"/>
  <c r="Y875" i="4"/>
  <c r="X875" i="4"/>
  <c r="R875" i="4"/>
  <c r="Q875" i="4"/>
  <c r="T875" i="4" s="1"/>
  <c r="J875" i="4"/>
  <c r="I875" i="4"/>
  <c r="Y874" i="4"/>
  <c r="X874" i="4"/>
  <c r="R874" i="4"/>
  <c r="Q874" i="4"/>
  <c r="J874" i="4"/>
  <c r="I874" i="4"/>
  <c r="Y873" i="4"/>
  <c r="X873" i="4"/>
  <c r="R873" i="4"/>
  <c r="Q873" i="4"/>
  <c r="J873" i="4"/>
  <c r="I873" i="4"/>
  <c r="Y872" i="4"/>
  <c r="X872" i="4"/>
  <c r="AB872" i="4" s="1"/>
  <c r="R872" i="4"/>
  <c r="Q872" i="4"/>
  <c r="A872" i="4" s="1"/>
  <c r="J872" i="4"/>
  <c r="I872" i="4"/>
  <c r="Y871" i="4"/>
  <c r="X871" i="4"/>
  <c r="R871" i="4"/>
  <c r="Q871" i="4"/>
  <c r="J871" i="4"/>
  <c r="I871" i="4"/>
  <c r="Y870" i="4"/>
  <c r="X870" i="4"/>
  <c r="R870" i="4"/>
  <c r="Q870" i="4"/>
  <c r="J870" i="4"/>
  <c r="I870" i="4"/>
  <c r="Y869" i="4"/>
  <c r="X869" i="4"/>
  <c r="R869" i="4"/>
  <c r="Q869" i="4"/>
  <c r="J869" i="4"/>
  <c r="I869" i="4"/>
  <c r="Y868" i="4"/>
  <c r="X868" i="4"/>
  <c r="R868" i="4"/>
  <c r="Q868" i="4"/>
  <c r="J868" i="4"/>
  <c r="I868" i="4"/>
  <c r="Y867" i="4"/>
  <c r="X867" i="4"/>
  <c r="R867" i="4"/>
  <c r="Q867" i="4"/>
  <c r="A867" i="4" s="1"/>
  <c r="J867" i="4"/>
  <c r="I867" i="4"/>
  <c r="Y866" i="4"/>
  <c r="X866" i="4"/>
  <c r="R866" i="4"/>
  <c r="Q866" i="4"/>
  <c r="J866" i="4"/>
  <c r="I866" i="4"/>
  <c r="Y865" i="4"/>
  <c r="X865" i="4"/>
  <c r="R865" i="4"/>
  <c r="Q865" i="4"/>
  <c r="J865" i="4"/>
  <c r="I865" i="4"/>
  <c r="Y864" i="4"/>
  <c r="X864" i="4"/>
  <c r="R864" i="4"/>
  <c r="Q864" i="4"/>
  <c r="A864" i="4" s="1"/>
  <c r="J864" i="4"/>
  <c r="I864" i="4"/>
  <c r="Y863" i="4"/>
  <c r="X863" i="4"/>
  <c r="R863" i="4"/>
  <c r="Q863" i="4"/>
  <c r="J863" i="4"/>
  <c r="I863" i="4"/>
  <c r="Y862" i="4"/>
  <c r="X862" i="4"/>
  <c r="R862" i="4"/>
  <c r="Q862" i="4"/>
  <c r="J862" i="4"/>
  <c r="I862" i="4"/>
  <c r="Y861" i="4"/>
  <c r="X861" i="4"/>
  <c r="R861" i="4"/>
  <c r="Q861" i="4"/>
  <c r="J861" i="4"/>
  <c r="I861" i="4"/>
  <c r="Y860" i="4"/>
  <c r="X860" i="4"/>
  <c r="R860" i="4"/>
  <c r="Q860" i="4"/>
  <c r="J860" i="4"/>
  <c r="I860" i="4"/>
  <c r="Y859" i="4"/>
  <c r="X859" i="4"/>
  <c r="R859" i="4"/>
  <c r="Q859" i="4"/>
  <c r="J859" i="4"/>
  <c r="I859" i="4"/>
  <c r="Y858" i="4"/>
  <c r="X858" i="4"/>
  <c r="R858" i="4"/>
  <c r="Q858" i="4"/>
  <c r="J858" i="4"/>
  <c r="I858" i="4"/>
  <c r="Y857" i="4"/>
  <c r="X857" i="4"/>
  <c r="R857" i="4"/>
  <c r="Q857" i="4"/>
  <c r="J857" i="4"/>
  <c r="I857" i="4"/>
  <c r="Y856" i="4"/>
  <c r="X856" i="4"/>
  <c r="R856" i="4"/>
  <c r="Q856" i="4"/>
  <c r="J856" i="4"/>
  <c r="I856" i="4"/>
  <c r="Y855" i="4"/>
  <c r="X855" i="4"/>
  <c r="R855" i="4"/>
  <c r="Q855" i="4"/>
  <c r="J855" i="4"/>
  <c r="I855" i="4"/>
  <c r="Y854" i="4"/>
  <c r="X854" i="4"/>
  <c r="R854" i="4"/>
  <c r="Q854" i="4"/>
  <c r="J854" i="4"/>
  <c r="I854" i="4"/>
  <c r="Y853" i="4"/>
  <c r="X853" i="4"/>
  <c r="R853" i="4"/>
  <c r="Q853" i="4"/>
  <c r="J853" i="4"/>
  <c r="I853" i="4"/>
  <c r="Y852" i="4"/>
  <c r="X852" i="4"/>
  <c r="R852" i="4"/>
  <c r="Q852" i="4"/>
  <c r="J852" i="4"/>
  <c r="I852" i="4"/>
  <c r="Y851" i="4"/>
  <c r="X851" i="4"/>
  <c r="R851" i="4"/>
  <c r="Q851" i="4"/>
  <c r="J851" i="4"/>
  <c r="I851" i="4"/>
  <c r="Y850" i="4"/>
  <c r="X850" i="4"/>
  <c r="R850" i="4"/>
  <c r="Q850" i="4"/>
  <c r="J850" i="4"/>
  <c r="I850" i="4"/>
  <c r="Y849" i="4"/>
  <c r="X849" i="4"/>
  <c r="R849" i="4"/>
  <c r="Q849" i="4"/>
  <c r="J849" i="4"/>
  <c r="I849" i="4"/>
  <c r="Y848" i="4"/>
  <c r="X848" i="4"/>
  <c r="R848" i="4"/>
  <c r="Q848" i="4"/>
  <c r="J848" i="4"/>
  <c r="I848" i="4"/>
  <c r="Y847" i="4"/>
  <c r="X847" i="4"/>
  <c r="R847" i="4"/>
  <c r="Q847" i="4"/>
  <c r="J847" i="4"/>
  <c r="I847" i="4"/>
  <c r="Y846" i="4"/>
  <c r="X846" i="4"/>
  <c r="R846" i="4"/>
  <c r="Q846" i="4"/>
  <c r="J846" i="4"/>
  <c r="I846" i="4"/>
  <c r="Y845" i="4"/>
  <c r="X845" i="4"/>
  <c r="R845" i="4"/>
  <c r="Q845" i="4"/>
  <c r="J845" i="4"/>
  <c r="I845" i="4"/>
  <c r="Y844" i="4"/>
  <c r="X844" i="4"/>
  <c r="R844" i="4"/>
  <c r="Q844" i="4"/>
  <c r="J844" i="4"/>
  <c r="I844" i="4"/>
  <c r="Y843" i="4"/>
  <c r="X843" i="4"/>
  <c r="R843" i="4"/>
  <c r="Q843" i="4"/>
  <c r="J843" i="4"/>
  <c r="I843" i="4"/>
  <c r="Y842" i="4"/>
  <c r="X842" i="4"/>
  <c r="R842" i="4"/>
  <c r="Q842" i="4"/>
  <c r="J842" i="4"/>
  <c r="I842" i="4"/>
  <c r="Y841" i="4"/>
  <c r="X841" i="4"/>
  <c r="R841" i="4"/>
  <c r="Q841" i="4"/>
  <c r="J841" i="4"/>
  <c r="I841" i="4"/>
  <c r="Y840" i="4"/>
  <c r="X840" i="4"/>
  <c r="R840" i="4"/>
  <c r="Q840" i="4"/>
  <c r="J840" i="4"/>
  <c r="I840" i="4"/>
  <c r="Y839" i="4"/>
  <c r="X839" i="4"/>
  <c r="R839" i="4"/>
  <c r="Q839" i="4"/>
  <c r="J839" i="4"/>
  <c r="I839" i="4"/>
  <c r="Y838" i="4"/>
  <c r="X838" i="4"/>
  <c r="R838" i="4"/>
  <c r="Q838" i="4"/>
  <c r="J838" i="4"/>
  <c r="I838" i="4"/>
  <c r="Y837" i="4"/>
  <c r="X837" i="4"/>
  <c r="R837" i="4"/>
  <c r="Q837" i="4"/>
  <c r="J837" i="4"/>
  <c r="I837" i="4"/>
  <c r="Y836" i="4"/>
  <c r="X836" i="4"/>
  <c r="R836" i="4"/>
  <c r="Q836" i="4"/>
  <c r="J836" i="4"/>
  <c r="I836" i="4"/>
  <c r="Y835" i="4"/>
  <c r="X835" i="4"/>
  <c r="R835" i="4"/>
  <c r="Q835" i="4"/>
  <c r="J835" i="4"/>
  <c r="I835" i="4"/>
  <c r="Y834" i="4"/>
  <c r="X834" i="4"/>
  <c r="R834" i="4"/>
  <c r="Q834" i="4"/>
  <c r="J834" i="4"/>
  <c r="I834" i="4"/>
  <c r="Y833" i="4"/>
  <c r="X833" i="4"/>
  <c r="R833" i="4"/>
  <c r="Q833" i="4"/>
  <c r="J833" i="4"/>
  <c r="I833" i="4"/>
  <c r="Y832" i="4"/>
  <c r="X832" i="4"/>
  <c r="R832" i="4"/>
  <c r="Q832" i="4"/>
  <c r="J832" i="4"/>
  <c r="I832" i="4"/>
  <c r="Y831" i="4"/>
  <c r="X831" i="4"/>
  <c r="R831" i="4"/>
  <c r="Q831" i="4"/>
  <c r="J831" i="4"/>
  <c r="I831" i="4"/>
  <c r="Y830" i="4"/>
  <c r="X830" i="4"/>
  <c r="R830" i="4"/>
  <c r="Q830" i="4"/>
  <c r="J830" i="4"/>
  <c r="I830" i="4"/>
  <c r="Y829" i="4"/>
  <c r="X829" i="4"/>
  <c r="R829" i="4"/>
  <c r="Q829" i="4"/>
  <c r="J829" i="4"/>
  <c r="I829" i="4"/>
  <c r="Y828" i="4"/>
  <c r="X828" i="4"/>
  <c r="R828" i="4"/>
  <c r="Q828" i="4"/>
  <c r="J828" i="4"/>
  <c r="I828" i="4"/>
  <c r="Y827" i="4"/>
  <c r="X827" i="4"/>
  <c r="R827" i="4"/>
  <c r="Q827" i="4"/>
  <c r="S827" i="4" s="1"/>
  <c r="J827" i="4"/>
  <c r="I827" i="4"/>
  <c r="Y826" i="4"/>
  <c r="X826" i="4"/>
  <c r="R826" i="4"/>
  <c r="Q826" i="4"/>
  <c r="J826" i="4"/>
  <c r="I826" i="4"/>
  <c r="Y825" i="4"/>
  <c r="X825" i="4"/>
  <c r="R825" i="4"/>
  <c r="Q825" i="4"/>
  <c r="J825" i="4"/>
  <c r="I825" i="4"/>
  <c r="Y824" i="4"/>
  <c r="X824" i="4"/>
  <c r="R824" i="4"/>
  <c r="Q824" i="4"/>
  <c r="J824" i="4"/>
  <c r="I824" i="4"/>
  <c r="Y823" i="4"/>
  <c r="X823" i="4"/>
  <c r="R823" i="4"/>
  <c r="Q823" i="4"/>
  <c r="J823" i="4"/>
  <c r="I823" i="4"/>
  <c r="Y822" i="4"/>
  <c r="X822" i="4"/>
  <c r="R822" i="4"/>
  <c r="Q822" i="4"/>
  <c r="J822" i="4"/>
  <c r="I822" i="4"/>
  <c r="Y821" i="4"/>
  <c r="X821" i="4"/>
  <c r="R821" i="4"/>
  <c r="Q821" i="4"/>
  <c r="J821" i="4"/>
  <c r="I821" i="4"/>
  <c r="Y820" i="4"/>
  <c r="X820" i="4"/>
  <c r="R820" i="4"/>
  <c r="Q820" i="4"/>
  <c r="J820" i="4"/>
  <c r="I820" i="4"/>
  <c r="Y819" i="4"/>
  <c r="X819" i="4"/>
  <c r="R819" i="4"/>
  <c r="Q819" i="4"/>
  <c r="J819" i="4"/>
  <c r="I819" i="4"/>
  <c r="Y818" i="4"/>
  <c r="X818" i="4"/>
  <c r="R818" i="4"/>
  <c r="Q818" i="4"/>
  <c r="J818" i="4"/>
  <c r="I818" i="4"/>
  <c r="Y817" i="4"/>
  <c r="X817" i="4"/>
  <c r="R817" i="4"/>
  <c r="Q817" i="4"/>
  <c r="J817" i="4"/>
  <c r="I817" i="4"/>
  <c r="Y816" i="4"/>
  <c r="X816" i="4"/>
  <c r="R816" i="4"/>
  <c r="Q816" i="4"/>
  <c r="J816" i="4"/>
  <c r="I816" i="4"/>
  <c r="Y815" i="4"/>
  <c r="X815" i="4"/>
  <c r="R815" i="4"/>
  <c r="Q815" i="4"/>
  <c r="J815" i="4"/>
  <c r="I815" i="4"/>
  <c r="Y814" i="4"/>
  <c r="X814" i="4"/>
  <c r="R814" i="4"/>
  <c r="Q814" i="4"/>
  <c r="J814" i="4"/>
  <c r="I814" i="4"/>
  <c r="Y813" i="4"/>
  <c r="X813" i="4"/>
  <c r="R813" i="4"/>
  <c r="Q813" i="4"/>
  <c r="J813" i="4"/>
  <c r="I813" i="4"/>
  <c r="Y812" i="4"/>
  <c r="X812" i="4"/>
  <c r="R812" i="4"/>
  <c r="Q812" i="4"/>
  <c r="J812" i="4"/>
  <c r="I812" i="4"/>
  <c r="Y811" i="4"/>
  <c r="X811" i="4"/>
  <c r="R811" i="4"/>
  <c r="Q811" i="4"/>
  <c r="J811" i="4"/>
  <c r="I811" i="4"/>
  <c r="Y810" i="4"/>
  <c r="X810" i="4"/>
  <c r="R810" i="4"/>
  <c r="Q810" i="4"/>
  <c r="J810" i="4"/>
  <c r="I810" i="4"/>
  <c r="Y809" i="4"/>
  <c r="X809" i="4"/>
  <c r="R809" i="4"/>
  <c r="Q809" i="4"/>
  <c r="J809" i="4"/>
  <c r="I809" i="4"/>
  <c r="Y808" i="4"/>
  <c r="X808" i="4"/>
  <c r="R808" i="4"/>
  <c r="Q808" i="4"/>
  <c r="J808" i="4"/>
  <c r="I808" i="4"/>
  <c r="Y807" i="4"/>
  <c r="X807" i="4"/>
  <c r="R807" i="4"/>
  <c r="Q807" i="4"/>
  <c r="J807" i="4"/>
  <c r="I807" i="4"/>
  <c r="Y806" i="4"/>
  <c r="X806" i="4"/>
  <c r="R806" i="4"/>
  <c r="Q806" i="4"/>
  <c r="J806" i="4"/>
  <c r="I806" i="4"/>
  <c r="Y805" i="4"/>
  <c r="X805" i="4"/>
  <c r="R805" i="4"/>
  <c r="Q805" i="4"/>
  <c r="A805" i="4" s="1"/>
  <c r="J805" i="4"/>
  <c r="I805" i="4"/>
  <c r="Y804" i="4"/>
  <c r="X804" i="4"/>
  <c r="R804" i="4"/>
  <c r="Q804" i="4"/>
  <c r="J804" i="4"/>
  <c r="I804" i="4"/>
  <c r="Y803" i="4"/>
  <c r="X803" i="4"/>
  <c r="R803" i="4"/>
  <c r="Q803" i="4"/>
  <c r="J803" i="4"/>
  <c r="I803" i="4"/>
  <c r="Y802" i="4"/>
  <c r="X802" i="4"/>
  <c r="R802" i="4"/>
  <c r="Q802" i="4"/>
  <c r="J802" i="4"/>
  <c r="I802" i="4"/>
  <c r="Y801" i="4"/>
  <c r="X801" i="4"/>
  <c r="R801" i="4"/>
  <c r="Q801" i="4"/>
  <c r="J801" i="4"/>
  <c r="I801" i="4"/>
  <c r="Y800" i="4"/>
  <c r="X800" i="4"/>
  <c r="R800" i="4"/>
  <c r="Q800" i="4"/>
  <c r="J800" i="4"/>
  <c r="I800" i="4"/>
  <c r="Y799" i="4"/>
  <c r="X799" i="4"/>
  <c r="R799" i="4"/>
  <c r="Q799" i="4"/>
  <c r="J799" i="4"/>
  <c r="I799" i="4"/>
  <c r="Y798" i="4"/>
  <c r="X798" i="4"/>
  <c r="R798" i="4"/>
  <c r="Q798" i="4"/>
  <c r="J798" i="4"/>
  <c r="I798" i="4"/>
  <c r="Y797" i="4"/>
  <c r="X797" i="4"/>
  <c r="R797" i="4"/>
  <c r="Q797" i="4"/>
  <c r="T797" i="4" s="1"/>
  <c r="J797" i="4"/>
  <c r="I797" i="4"/>
  <c r="Y796" i="4"/>
  <c r="X796" i="4"/>
  <c r="R796" i="4"/>
  <c r="Q796" i="4"/>
  <c r="J796" i="4"/>
  <c r="I796" i="4"/>
  <c r="Y795" i="4"/>
  <c r="X795" i="4"/>
  <c r="R795" i="4"/>
  <c r="Q795" i="4"/>
  <c r="J795" i="4"/>
  <c r="I795" i="4"/>
  <c r="Y794" i="4"/>
  <c r="X794" i="4"/>
  <c r="R794" i="4"/>
  <c r="Q794" i="4"/>
  <c r="J794" i="4"/>
  <c r="I794" i="4"/>
  <c r="Y793" i="4"/>
  <c r="X793" i="4"/>
  <c r="R793" i="4"/>
  <c r="Q793" i="4"/>
  <c r="J793" i="4"/>
  <c r="I793" i="4"/>
  <c r="Y792" i="4"/>
  <c r="X792" i="4"/>
  <c r="R792" i="4"/>
  <c r="Q792" i="4"/>
  <c r="J792" i="4"/>
  <c r="I792" i="4"/>
  <c r="Y791" i="4"/>
  <c r="X791" i="4"/>
  <c r="R791" i="4"/>
  <c r="Q791" i="4"/>
  <c r="J791" i="4"/>
  <c r="I791" i="4"/>
  <c r="Y790" i="4"/>
  <c r="X790" i="4"/>
  <c r="R790" i="4"/>
  <c r="Q790" i="4"/>
  <c r="J790" i="4"/>
  <c r="I790" i="4"/>
  <c r="Y789" i="4"/>
  <c r="X789" i="4"/>
  <c r="R789" i="4"/>
  <c r="Q789" i="4"/>
  <c r="J789" i="4"/>
  <c r="I789" i="4"/>
  <c r="Y788" i="4"/>
  <c r="X788" i="4"/>
  <c r="R788" i="4"/>
  <c r="Q788" i="4"/>
  <c r="J788" i="4"/>
  <c r="I788" i="4"/>
  <c r="Y787" i="4"/>
  <c r="X787" i="4"/>
  <c r="R787" i="4"/>
  <c r="Q787" i="4"/>
  <c r="J787" i="4"/>
  <c r="I787" i="4"/>
  <c r="Y786" i="4"/>
  <c r="X786" i="4"/>
  <c r="R786" i="4"/>
  <c r="Q786" i="4"/>
  <c r="J786" i="4"/>
  <c r="I786" i="4"/>
  <c r="Y785" i="4"/>
  <c r="X785" i="4"/>
  <c r="R785" i="4"/>
  <c r="Q785" i="4"/>
  <c r="J785" i="4"/>
  <c r="I785" i="4"/>
  <c r="Y784" i="4"/>
  <c r="X784" i="4"/>
  <c r="R784" i="4"/>
  <c r="Q784" i="4"/>
  <c r="J784" i="4"/>
  <c r="I784" i="4"/>
  <c r="Y783" i="4"/>
  <c r="X783" i="4"/>
  <c r="R783" i="4"/>
  <c r="Q783" i="4"/>
  <c r="A783" i="4" s="1"/>
  <c r="J783" i="4"/>
  <c r="I783" i="4"/>
  <c r="Y782" i="4"/>
  <c r="X782" i="4"/>
  <c r="R782" i="4"/>
  <c r="Q782" i="4"/>
  <c r="J782" i="4"/>
  <c r="I782" i="4"/>
  <c r="Y781" i="4"/>
  <c r="X781" i="4"/>
  <c r="R781" i="4"/>
  <c r="Q781" i="4"/>
  <c r="J781" i="4"/>
  <c r="I781" i="4"/>
  <c r="Y780" i="4"/>
  <c r="X780" i="4"/>
  <c r="R780" i="4"/>
  <c r="Q780" i="4"/>
  <c r="J780" i="4"/>
  <c r="I780" i="4"/>
  <c r="Y779" i="4"/>
  <c r="X779" i="4"/>
  <c r="R779" i="4"/>
  <c r="Q779" i="4"/>
  <c r="A779" i="4" s="1"/>
  <c r="J779" i="4"/>
  <c r="I779" i="4"/>
  <c r="Y778" i="4"/>
  <c r="X778" i="4"/>
  <c r="R778" i="4"/>
  <c r="Q778" i="4"/>
  <c r="J778" i="4"/>
  <c r="I778" i="4"/>
  <c r="Y777" i="4"/>
  <c r="X777" i="4"/>
  <c r="R777" i="4"/>
  <c r="Q777" i="4"/>
  <c r="J777" i="4"/>
  <c r="I777" i="4"/>
  <c r="Y776" i="4"/>
  <c r="X776" i="4"/>
  <c r="R776" i="4"/>
  <c r="Q776" i="4"/>
  <c r="J776" i="4"/>
  <c r="I776" i="4"/>
  <c r="Y775" i="4"/>
  <c r="X775" i="4"/>
  <c r="R775" i="4"/>
  <c r="Q775" i="4"/>
  <c r="A775" i="4" s="1"/>
  <c r="J775" i="4"/>
  <c r="I775" i="4"/>
  <c r="Y774" i="4"/>
  <c r="X774" i="4"/>
  <c r="R774" i="4"/>
  <c r="Q774" i="4"/>
  <c r="J774" i="4"/>
  <c r="I774" i="4"/>
  <c r="Y773" i="4"/>
  <c r="X773" i="4"/>
  <c r="R773" i="4"/>
  <c r="Q773" i="4"/>
  <c r="U773" i="4" s="1"/>
  <c r="J773" i="4"/>
  <c r="I773" i="4"/>
  <c r="Y772" i="4"/>
  <c r="X772" i="4"/>
  <c r="R772" i="4"/>
  <c r="Q772" i="4"/>
  <c r="J772" i="4"/>
  <c r="I772" i="4"/>
  <c r="Y771" i="4"/>
  <c r="X771" i="4"/>
  <c r="R771" i="4"/>
  <c r="Q771" i="4"/>
  <c r="A771" i="4" s="1"/>
  <c r="J771" i="4"/>
  <c r="I771" i="4"/>
  <c r="Y770" i="4"/>
  <c r="X770" i="4"/>
  <c r="R770" i="4"/>
  <c r="Q770" i="4"/>
  <c r="J770" i="4"/>
  <c r="I770" i="4"/>
  <c r="Y769" i="4"/>
  <c r="X769" i="4"/>
  <c r="R769" i="4"/>
  <c r="Q769" i="4"/>
  <c r="J769" i="4"/>
  <c r="I769" i="4"/>
  <c r="Y768" i="4"/>
  <c r="X768" i="4"/>
  <c r="R768" i="4"/>
  <c r="Q768" i="4"/>
  <c r="J768" i="4"/>
  <c r="I768" i="4"/>
  <c r="Y767" i="4"/>
  <c r="X767" i="4"/>
  <c r="R767" i="4"/>
  <c r="Q767" i="4"/>
  <c r="J767" i="4"/>
  <c r="I767" i="4"/>
  <c r="Y766" i="4"/>
  <c r="X766" i="4"/>
  <c r="R766" i="4"/>
  <c r="Q766" i="4"/>
  <c r="J766" i="4"/>
  <c r="I766" i="4"/>
  <c r="Y765" i="4"/>
  <c r="X765" i="4"/>
  <c r="R765" i="4"/>
  <c r="Q765" i="4"/>
  <c r="J765" i="4"/>
  <c r="I765" i="4"/>
  <c r="Y764" i="4"/>
  <c r="X764" i="4"/>
  <c r="R764" i="4"/>
  <c r="Q764" i="4"/>
  <c r="J764" i="4"/>
  <c r="I764" i="4"/>
  <c r="Y763" i="4"/>
  <c r="X763" i="4"/>
  <c r="R763" i="4"/>
  <c r="Q763" i="4"/>
  <c r="J763" i="4"/>
  <c r="I763" i="4"/>
  <c r="Y762" i="4"/>
  <c r="X762" i="4"/>
  <c r="AD762" i="4" s="1"/>
  <c r="R762" i="4"/>
  <c r="Q762" i="4"/>
  <c r="J762" i="4"/>
  <c r="I762" i="4"/>
  <c r="Y761" i="4"/>
  <c r="X761" i="4"/>
  <c r="R761" i="4"/>
  <c r="Q761" i="4"/>
  <c r="J761" i="4"/>
  <c r="I761" i="4"/>
  <c r="Y760" i="4"/>
  <c r="X760" i="4"/>
  <c r="R760" i="4"/>
  <c r="Q760" i="4"/>
  <c r="J760" i="4"/>
  <c r="I760" i="4"/>
  <c r="Y759" i="4"/>
  <c r="X759" i="4"/>
  <c r="R759" i="4"/>
  <c r="Q759" i="4"/>
  <c r="J759" i="4"/>
  <c r="I759" i="4"/>
  <c r="Y758" i="4"/>
  <c r="X758" i="4"/>
  <c r="R758" i="4"/>
  <c r="Q758" i="4"/>
  <c r="J758" i="4"/>
  <c r="I758" i="4"/>
  <c r="Y757" i="4"/>
  <c r="X757" i="4"/>
  <c r="R757" i="4"/>
  <c r="Q757" i="4"/>
  <c r="J757" i="4"/>
  <c r="I757" i="4"/>
  <c r="Y756" i="4"/>
  <c r="X756" i="4"/>
  <c r="R756" i="4"/>
  <c r="Q756" i="4"/>
  <c r="J756" i="4"/>
  <c r="I756" i="4"/>
  <c r="Y755" i="4"/>
  <c r="X755" i="4"/>
  <c r="R755" i="4"/>
  <c r="Q755" i="4"/>
  <c r="A755" i="4" s="1"/>
  <c r="J755" i="4"/>
  <c r="I755" i="4"/>
  <c r="Y754" i="4"/>
  <c r="X754" i="4"/>
  <c r="R754" i="4"/>
  <c r="Q754" i="4"/>
  <c r="J754" i="4"/>
  <c r="I754" i="4"/>
  <c r="Y753" i="4"/>
  <c r="X753" i="4"/>
  <c r="R753" i="4"/>
  <c r="Q753" i="4"/>
  <c r="J753" i="4"/>
  <c r="I753" i="4"/>
  <c r="Y752" i="4"/>
  <c r="X752" i="4"/>
  <c r="R752" i="4"/>
  <c r="Q752" i="4"/>
  <c r="J752" i="4"/>
  <c r="I752" i="4"/>
  <c r="Y751" i="4"/>
  <c r="X751" i="4"/>
  <c r="R751" i="4"/>
  <c r="Q751" i="4"/>
  <c r="J751" i="4"/>
  <c r="I751" i="4"/>
  <c r="Y750" i="4"/>
  <c r="X750" i="4"/>
  <c r="R750" i="4"/>
  <c r="Q750" i="4"/>
  <c r="J750" i="4"/>
  <c r="I750" i="4"/>
  <c r="Y749" i="4"/>
  <c r="X749" i="4"/>
  <c r="R749" i="4"/>
  <c r="Q749" i="4"/>
  <c r="J749" i="4"/>
  <c r="I749" i="4"/>
  <c r="Y748" i="4"/>
  <c r="X748" i="4"/>
  <c r="R748" i="4"/>
  <c r="Q748" i="4"/>
  <c r="J748" i="4"/>
  <c r="I748" i="4"/>
  <c r="Y747" i="4"/>
  <c r="X747" i="4"/>
  <c r="R747" i="4"/>
  <c r="Q747" i="4"/>
  <c r="A747" i="4" s="1"/>
  <c r="J747" i="4"/>
  <c r="I747" i="4"/>
  <c r="Y746" i="4"/>
  <c r="X746" i="4"/>
  <c r="R746" i="4"/>
  <c r="Q746" i="4"/>
  <c r="J746" i="4"/>
  <c r="I746" i="4"/>
  <c r="Y745" i="4"/>
  <c r="X745" i="4"/>
  <c r="R745" i="4"/>
  <c r="Q745" i="4"/>
  <c r="J745" i="4"/>
  <c r="I745" i="4"/>
  <c r="Y744" i="4"/>
  <c r="X744" i="4"/>
  <c r="R744" i="4"/>
  <c r="Q744" i="4"/>
  <c r="J744" i="4"/>
  <c r="I744" i="4"/>
  <c r="Y743" i="4"/>
  <c r="X743" i="4"/>
  <c r="R743" i="4"/>
  <c r="Q743" i="4"/>
  <c r="J743" i="4"/>
  <c r="I743" i="4"/>
  <c r="Y742" i="4"/>
  <c r="X742" i="4"/>
  <c r="R742" i="4"/>
  <c r="Q742" i="4"/>
  <c r="J742" i="4"/>
  <c r="I742" i="4"/>
  <c r="Y741" i="4"/>
  <c r="X741" i="4"/>
  <c r="R741" i="4"/>
  <c r="Q741" i="4"/>
  <c r="J741" i="4"/>
  <c r="I741" i="4"/>
  <c r="Y740" i="4"/>
  <c r="X740" i="4"/>
  <c r="R740" i="4"/>
  <c r="Q740" i="4"/>
  <c r="J740" i="4"/>
  <c r="I740" i="4"/>
  <c r="Y739" i="4"/>
  <c r="X739" i="4"/>
  <c r="AA739" i="4" s="1"/>
  <c r="R739" i="4"/>
  <c r="Q739" i="4"/>
  <c r="J739" i="4"/>
  <c r="I739" i="4"/>
  <c r="Y738" i="4"/>
  <c r="X738" i="4"/>
  <c r="R738" i="4"/>
  <c r="Q738" i="4"/>
  <c r="J738" i="4"/>
  <c r="I738" i="4"/>
  <c r="Y737" i="4"/>
  <c r="X737" i="4"/>
  <c r="R737" i="4"/>
  <c r="Q737" i="4"/>
  <c r="J737" i="4"/>
  <c r="I737" i="4"/>
  <c r="Y736" i="4"/>
  <c r="X736" i="4"/>
  <c r="R736" i="4"/>
  <c r="Q736" i="4"/>
  <c r="J736" i="4"/>
  <c r="I736" i="4"/>
  <c r="Y735" i="4"/>
  <c r="X735" i="4"/>
  <c r="R735" i="4"/>
  <c r="Q735" i="4"/>
  <c r="J735" i="4"/>
  <c r="I735" i="4"/>
  <c r="Y734" i="4"/>
  <c r="X734" i="4"/>
  <c r="R734" i="4"/>
  <c r="Q734" i="4"/>
  <c r="J734" i="4"/>
  <c r="I734" i="4"/>
  <c r="Y733" i="4"/>
  <c r="X733" i="4"/>
  <c r="R733" i="4"/>
  <c r="Q733" i="4"/>
  <c r="J733" i="4"/>
  <c r="I733" i="4"/>
  <c r="Y732" i="4"/>
  <c r="X732" i="4"/>
  <c r="R732" i="4"/>
  <c r="Q732" i="4"/>
  <c r="J732" i="4"/>
  <c r="I732" i="4"/>
  <c r="Y731" i="4"/>
  <c r="X731" i="4"/>
  <c r="R731" i="4"/>
  <c r="Q731" i="4"/>
  <c r="S731" i="4" s="1"/>
  <c r="J731" i="4"/>
  <c r="I731" i="4"/>
  <c r="Y730" i="4"/>
  <c r="X730" i="4"/>
  <c r="R730" i="4"/>
  <c r="Q730" i="4"/>
  <c r="J730" i="4"/>
  <c r="I730" i="4"/>
  <c r="Y729" i="4"/>
  <c r="X729" i="4"/>
  <c r="R729" i="4"/>
  <c r="Q729" i="4"/>
  <c r="J729" i="4"/>
  <c r="I729" i="4"/>
  <c r="Y728" i="4"/>
  <c r="X728" i="4"/>
  <c r="R728" i="4"/>
  <c r="Q728" i="4"/>
  <c r="J728" i="4"/>
  <c r="I728" i="4"/>
  <c r="Y727" i="4"/>
  <c r="X727" i="4"/>
  <c r="R727" i="4"/>
  <c r="Q727" i="4"/>
  <c r="J727" i="4"/>
  <c r="I727" i="4"/>
  <c r="Y726" i="4"/>
  <c r="X726" i="4"/>
  <c r="R726" i="4"/>
  <c r="Q726" i="4"/>
  <c r="J726" i="4"/>
  <c r="I726" i="4"/>
  <c r="Y725" i="4"/>
  <c r="X725" i="4"/>
  <c r="R725" i="4"/>
  <c r="Q725" i="4"/>
  <c r="J725" i="4"/>
  <c r="I725" i="4"/>
  <c r="Y724" i="4"/>
  <c r="X724" i="4"/>
  <c r="R724" i="4"/>
  <c r="Q724" i="4"/>
  <c r="J724" i="4"/>
  <c r="I724" i="4"/>
  <c r="Y723" i="4"/>
  <c r="X723" i="4"/>
  <c r="R723" i="4"/>
  <c r="Q723" i="4"/>
  <c r="J723" i="4"/>
  <c r="I723" i="4"/>
  <c r="Y722" i="4"/>
  <c r="X722" i="4"/>
  <c r="R722" i="4"/>
  <c r="Q722" i="4"/>
  <c r="J722" i="4"/>
  <c r="I722" i="4"/>
  <c r="Y721" i="4"/>
  <c r="X721" i="4"/>
  <c r="R721" i="4"/>
  <c r="Q721" i="4"/>
  <c r="J721" i="4"/>
  <c r="I721" i="4"/>
  <c r="Y720" i="4"/>
  <c r="X720" i="4"/>
  <c r="R720" i="4"/>
  <c r="Q720" i="4"/>
  <c r="J720" i="4"/>
  <c r="I720" i="4"/>
  <c r="Y719" i="4"/>
  <c r="X719" i="4"/>
  <c r="R719" i="4"/>
  <c r="Q719" i="4"/>
  <c r="J719" i="4"/>
  <c r="I719" i="4"/>
  <c r="Y718" i="4"/>
  <c r="X718" i="4"/>
  <c r="R718" i="4"/>
  <c r="Q718" i="4"/>
  <c r="J718" i="4"/>
  <c r="I718" i="4"/>
  <c r="Y717" i="4"/>
  <c r="X717" i="4"/>
  <c r="R717" i="4"/>
  <c r="Q717" i="4"/>
  <c r="J717" i="4"/>
  <c r="I717" i="4"/>
  <c r="Y716" i="4"/>
  <c r="X716" i="4"/>
  <c r="R716" i="4"/>
  <c r="Q716" i="4"/>
  <c r="J716" i="4"/>
  <c r="I716" i="4"/>
  <c r="Y715" i="4"/>
  <c r="X715" i="4"/>
  <c r="R715" i="4"/>
  <c r="Q715" i="4"/>
  <c r="J715" i="4"/>
  <c r="I715" i="4"/>
  <c r="Y714" i="4"/>
  <c r="X714" i="4"/>
  <c r="R714" i="4"/>
  <c r="Q714" i="4"/>
  <c r="J714" i="4"/>
  <c r="I714" i="4"/>
  <c r="Y713" i="4"/>
  <c r="X713" i="4"/>
  <c r="R713" i="4"/>
  <c r="Q713" i="4"/>
  <c r="J713" i="4"/>
  <c r="I713" i="4"/>
  <c r="Y712" i="4"/>
  <c r="X712" i="4"/>
  <c r="R712" i="4"/>
  <c r="Q712" i="4"/>
  <c r="J712" i="4"/>
  <c r="I712" i="4"/>
  <c r="Y711" i="4"/>
  <c r="X711" i="4"/>
  <c r="R711" i="4"/>
  <c r="Q711" i="4"/>
  <c r="J711" i="4"/>
  <c r="I711" i="4"/>
  <c r="Y710" i="4"/>
  <c r="X710" i="4"/>
  <c r="R710" i="4"/>
  <c r="Q710" i="4"/>
  <c r="J710" i="4"/>
  <c r="I710" i="4"/>
  <c r="Y709" i="4"/>
  <c r="X709" i="4"/>
  <c r="R709" i="4"/>
  <c r="Q709" i="4"/>
  <c r="J709" i="4"/>
  <c r="I709" i="4"/>
  <c r="Y708" i="4"/>
  <c r="X708" i="4"/>
  <c r="R708" i="4"/>
  <c r="Q708" i="4"/>
  <c r="J708" i="4"/>
  <c r="I708" i="4"/>
  <c r="Y707" i="4"/>
  <c r="X707" i="4"/>
  <c r="R707" i="4"/>
  <c r="Q707" i="4"/>
  <c r="J707" i="4"/>
  <c r="I707" i="4"/>
  <c r="Y706" i="4"/>
  <c r="X706" i="4"/>
  <c r="R706" i="4"/>
  <c r="Q706" i="4"/>
  <c r="J706" i="4"/>
  <c r="I706" i="4"/>
  <c r="Y705" i="4"/>
  <c r="X705" i="4"/>
  <c r="R705" i="4"/>
  <c r="Q705" i="4"/>
  <c r="J705" i="4"/>
  <c r="I705" i="4"/>
  <c r="Y704" i="4"/>
  <c r="X704" i="4"/>
  <c r="R704" i="4"/>
  <c r="Q704" i="4"/>
  <c r="J704" i="4"/>
  <c r="I704" i="4"/>
  <c r="Y703" i="4"/>
  <c r="X703" i="4"/>
  <c r="R703" i="4"/>
  <c r="Q703" i="4"/>
  <c r="J703" i="4"/>
  <c r="I703" i="4"/>
  <c r="Y702" i="4"/>
  <c r="X702" i="4"/>
  <c r="R702" i="4"/>
  <c r="Q702" i="4"/>
  <c r="J702" i="4"/>
  <c r="I702" i="4"/>
  <c r="Y701" i="4"/>
  <c r="X701" i="4"/>
  <c r="R701" i="4"/>
  <c r="Q701" i="4"/>
  <c r="J701" i="4"/>
  <c r="I701" i="4"/>
  <c r="Y700" i="4"/>
  <c r="X700" i="4"/>
  <c r="R700" i="4"/>
  <c r="Q700" i="4"/>
  <c r="J700" i="4"/>
  <c r="I700" i="4"/>
  <c r="Y699" i="4"/>
  <c r="X699" i="4"/>
  <c r="R699" i="4"/>
  <c r="Q699" i="4"/>
  <c r="A699" i="4" s="1"/>
  <c r="J699" i="4"/>
  <c r="I699" i="4"/>
  <c r="Y698" i="4"/>
  <c r="X698" i="4"/>
  <c r="R698" i="4"/>
  <c r="Q698" i="4"/>
  <c r="J698" i="4"/>
  <c r="I698" i="4"/>
  <c r="Y697" i="4"/>
  <c r="X697" i="4"/>
  <c r="R697" i="4"/>
  <c r="Q697" i="4"/>
  <c r="J697" i="4"/>
  <c r="I697" i="4"/>
  <c r="Y696" i="4"/>
  <c r="X696" i="4"/>
  <c r="R696" i="4"/>
  <c r="Q696" i="4"/>
  <c r="J696" i="4"/>
  <c r="I696" i="4"/>
  <c r="Y695" i="4"/>
  <c r="X695" i="4"/>
  <c r="R695" i="4"/>
  <c r="Q695" i="4"/>
  <c r="J695" i="4"/>
  <c r="I695" i="4"/>
  <c r="Y694" i="4"/>
  <c r="X694" i="4"/>
  <c r="R694" i="4"/>
  <c r="Q694" i="4"/>
  <c r="J694" i="4"/>
  <c r="I694" i="4"/>
  <c r="Y693" i="4"/>
  <c r="X693" i="4"/>
  <c r="R693" i="4"/>
  <c r="Q693" i="4"/>
  <c r="J693" i="4"/>
  <c r="I693" i="4"/>
  <c r="Y692" i="4"/>
  <c r="X692" i="4"/>
  <c r="R692" i="4"/>
  <c r="Q692" i="4"/>
  <c r="J692" i="4"/>
  <c r="I692" i="4"/>
  <c r="Y691" i="4"/>
  <c r="X691" i="4"/>
  <c r="R691" i="4"/>
  <c r="Q691" i="4"/>
  <c r="J691" i="4"/>
  <c r="I691" i="4"/>
  <c r="Y690" i="4"/>
  <c r="X690" i="4"/>
  <c r="R690" i="4"/>
  <c r="Q690" i="4"/>
  <c r="J690" i="4"/>
  <c r="I690" i="4"/>
  <c r="Y689" i="4"/>
  <c r="X689" i="4"/>
  <c r="R689" i="4"/>
  <c r="Q689" i="4"/>
  <c r="J689" i="4"/>
  <c r="I689" i="4"/>
  <c r="Y688" i="4"/>
  <c r="X688" i="4"/>
  <c r="R688" i="4"/>
  <c r="Q688" i="4"/>
  <c r="J688" i="4"/>
  <c r="I688" i="4"/>
  <c r="Y687" i="4"/>
  <c r="X687" i="4"/>
  <c r="R687" i="4"/>
  <c r="Q687" i="4"/>
  <c r="J687" i="4"/>
  <c r="I687" i="4"/>
  <c r="Y686" i="4"/>
  <c r="X686" i="4"/>
  <c r="R686" i="4"/>
  <c r="Q686" i="4"/>
  <c r="J686" i="4"/>
  <c r="I686" i="4"/>
  <c r="Y685" i="4"/>
  <c r="X685" i="4"/>
  <c r="R685" i="4"/>
  <c r="Q685" i="4"/>
  <c r="J685" i="4"/>
  <c r="I685" i="4"/>
  <c r="Y684" i="4"/>
  <c r="X684" i="4"/>
  <c r="R684" i="4"/>
  <c r="Q684" i="4"/>
  <c r="J684" i="4"/>
  <c r="I684" i="4"/>
  <c r="Y683" i="4"/>
  <c r="X683" i="4"/>
  <c r="R683" i="4"/>
  <c r="Q683" i="4"/>
  <c r="J683" i="4"/>
  <c r="I683" i="4"/>
  <c r="Y682" i="4"/>
  <c r="X682" i="4"/>
  <c r="R682" i="4"/>
  <c r="Q682" i="4"/>
  <c r="J682" i="4"/>
  <c r="I682" i="4"/>
  <c r="Y681" i="4"/>
  <c r="X681" i="4"/>
  <c r="R681" i="4"/>
  <c r="Q681" i="4"/>
  <c r="J681" i="4"/>
  <c r="I681" i="4"/>
  <c r="Y680" i="4"/>
  <c r="X680" i="4"/>
  <c r="R680" i="4"/>
  <c r="Q680" i="4"/>
  <c r="J680" i="4"/>
  <c r="I680" i="4"/>
  <c r="Y679" i="4"/>
  <c r="X679" i="4"/>
  <c r="R679" i="4"/>
  <c r="Q679" i="4"/>
  <c r="J679" i="4"/>
  <c r="I679" i="4"/>
  <c r="Y678" i="4"/>
  <c r="X678" i="4"/>
  <c r="R678" i="4"/>
  <c r="Q678" i="4"/>
  <c r="J678" i="4"/>
  <c r="I678" i="4"/>
  <c r="Y677" i="4"/>
  <c r="X677" i="4"/>
  <c r="R677" i="4"/>
  <c r="Q677" i="4"/>
  <c r="J677" i="4"/>
  <c r="I677" i="4"/>
  <c r="Y676" i="4"/>
  <c r="X676" i="4"/>
  <c r="R676" i="4"/>
  <c r="Q676" i="4"/>
  <c r="J676" i="4"/>
  <c r="I676" i="4"/>
  <c r="Y675" i="4"/>
  <c r="X675" i="4"/>
  <c r="R675" i="4"/>
  <c r="Q675" i="4"/>
  <c r="J675" i="4"/>
  <c r="I675" i="4"/>
  <c r="Y674" i="4"/>
  <c r="X674" i="4"/>
  <c r="R674" i="4"/>
  <c r="Q674" i="4"/>
  <c r="J674" i="4"/>
  <c r="I674" i="4"/>
  <c r="Y673" i="4"/>
  <c r="X673" i="4"/>
  <c r="R673" i="4"/>
  <c r="Q673" i="4"/>
  <c r="J673" i="4"/>
  <c r="I673" i="4"/>
  <c r="Y672" i="4"/>
  <c r="X672" i="4"/>
  <c r="R672" i="4"/>
  <c r="Q672" i="4"/>
  <c r="J672" i="4"/>
  <c r="I672" i="4"/>
  <c r="Y671" i="4"/>
  <c r="X671" i="4"/>
  <c r="R671" i="4"/>
  <c r="Q671" i="4"/>
  <c r="J671" i="4"/>
  <c r="I671" i="4"/>
  <c r="Y670" i="4"/>
  <c r="X670" i="4"/>
  <c r="R670" i="4"/>
  <c r="Q670" i="4"/>
  <c r="J670" i="4"/>
  <c r="I670" i="4"/>
  <c r="Y669" i="4"/>
  <c r="X669" i="4"/>
  <c r="R669" i="4"/>
  <c r="Q669" i="4"/>
  <c r="J669" i="4"/>
  <c r="I669" i="4"/>
  <c r="Y668" i="4"/>
  <c r="X668" i="4"/>
  <c r="R668" i="4"/>
  <c r="Q668" i="4"/>
  <c r="J668" i="4"/>
  <c r="I668" i="4"/>
  <c r="Y667" i="4"/>
  <c r="X667" i="4"/>
  <c r="R667" i="4"/>
  <c r="Q667" i="4"/>
  <c r="J667" i="4"/>
  <c r="I667" i="4"/>
  <c r="Y666" i="4"/>
  <c r="X666" i="4"/>
  <c r="R666" i="4"/>
  <c r="Q666" i="4"/>
  <c r="J666" i="4"/>
  <c r="I666" i="4"/>
  <c r="Y665" i="4"/>
  <c r="X665" i="4"/>
  <c r="R665" i="4"/>
  <c r="Q665" i="4"/>
  <c r="J665" i="4"/>
  <c r="I665" i="4"/>
  <c r="Y664" i="4"/>
  <c r="X664" i="4"/>
  <c r="R664" i="4"/>
  <c r="Q664" i="4"/>
  <c r="J664" i="4"/>
  <c r="I664" i="4"/>
  <c r="Y663" i="4"/>
  <c r="X663" i="4"/>
  <c r="R663" i="4"/>
  <c r="Q663" i="4"/>
  <c r="J663" i="4"/>
  <c r="I663" i="4"/>
  <c r="Y662" i="4"/>
  <c r="X662" i="4"/>
  <c r="R662" i="4"/>
  <c r="Q662" i="4"/>
  <c r="J662" i="4"/>
  <c r="I662" i="4"/>
  <c r="Y661" i="4"/>
  <c r="X661" i="4"/>
  <c r="R661" i="4"/>
  <c r="Q661" i="4"/>
  <c r="J661" i="4"/>
  <c r="I661" i="4"/>
  <c r="Y660" i="4"/>
  <c r="X660" i="4"/>
  <c r="R660" i="4"/>
  <c r="Q660" i="4"/>
  <c r="J660" i="4"/>
  <c r="I660" i="4"/>
  <c r="Y659" i="4"/>
  <c r="X659" i="4"/>
  <c r="R659" i="4"/>
  <c r="Q659" i="4"/>
  <c r="J659" i="4"/>
  <c r="I659" i="4"/>
  <c r="Y658" i="4"/>
  <c r="X658" i="4"/>
  <c r="R658" i="4"/>
  <c r="Q658" i="4"/>
  <c r="J658" i="4"/>
  <c r="I658" i="4"/>
  <c r="Y657" i="4"/>
  <c r="X657" i="4"/>
  <c r="R657" i="4"/>
  <c r="Q657" i="4"/>
  <c r="J657" i="4"/>
  <c r="I657" i="4"/>
  <c r="Y656" i="4"/>
  <c r="X656" i="4"/>
  <c r="R656" i="4"/>
  <c r="Q656" i="4"/>
  <c r="J656" i="4"/>
  <c r="I656" i="4"/>
  <c r="Y655" i="4"/>
  <c r="X655" i="4"/>
  <c r="R655" i="4"/>
  <c r="Q655" i="4"/>
  <c r="J655" i="4"/>
  <c r="I655" i="4"/>
  <c r="Y654" i="4"/>
  <c r="X654" i="4"/>
  <c r="R654" i="4"/>
  <c r="Q654" i="4"/>
  <c r="J654" i="4"/>
  <c r="I654" i="4"/>
  <c r="Y653" i="4"/>
  <c r="X653" i="4"/>
  <c r="R653" i="4"/>
  <c r="Q653" i="4"/>
  <c r="J653" i="4"/>
  <c r="I653" i="4"/>
  <c r="Y652" i="4"/>
  <c r="X652" i="4"/>
  <c r="R652" i="4"/>
  <c r="Q652" i="4"/>
  <c r="J652" i="4"/>
  <c r="I652" i="4"/>
  <c r="Y651" i="4"/>
  <c r="X651" i="4"/>
  <c r="R651" i="4"/>
  <c r="Q651" i="4"/>
  <c r="J651" i="4"/>
  <c r="I651" i="4"/>
  <c r="Y650" i="4"/>
  <c r="X650" i="4"/>
  <c r="R650" i="4"/>
  <c r="Q650" i="4"/>
  <c r="J650" i="4"/>
  <c r="I650" i="4"/>
  <c r="Y649" i="4"/>
  <c r="X649" i="4"/>
  <c r="R649" i="4"/>
  <c r="Q649" i="4"/>
  <c r="J649" i="4"/>
  <c r="I649" i="4"/>
  <c r="Y648" i="4"/>
  <c r="X648" i="4"/>
  <c r="R648" i="4"/>
  <c r="Q648" i="4"/>
  <c r="J648" i="4"/>
  <c r="I648" i="4"/>
  <c r="Y647" i="4"/>
  <c r="X647" i="4"/>
  <c r="R647" i="4"/>
  <c r="Q647" i="4"/>
  <c r="J647" i="4"/>
  <c r="I647" i="4"/>
  <c r="Y646" i="4"/>
  <c r="X646" i="4"/>
  <c r="R646" i="4"/>
  <c r="Q646" i="4"/>
  <c r="J646" i="4"/>
  <c r="I646" i="4"/>
  <c r="Y645" i="4"/>
  <c r="X645" i="4"/>
  <c r="R645" i="4"/>
  <c r="Q645" i="4"/>
  <c r="J645" i="4"/>
  <c r="I645" i="4"/>
  <c r="Y644" i="4"/>
  <c r="X644" i="4"/>
  <c r="R644" i="4"/>
  <c r="Q644" i="4"/>
  <c r="J644" i="4"/>
  <c r="I644" i="4"/>
  <c r="Y643" i="4"/>
  <c r="X643" i="4"/>
  <c r="R643" i="4"/>
  <c r="Q643" i="4"/>
  <c r="J643" i="4"/>
  <c r="I643" i="4"/>
  <c r="Y642" i="4"/>
  <c r="X642" i="4"/>
  <c r="R642" i="4"/>
  <c r="Q642" i="4"/>
  <c r="J642" i="4"/>
  <c r="I642" i="4"/>
  <c r="Y641" i="4"/>
  <c r="X641" i="4"/>
  <c r="R641" i="4"/>
  <c r="Q641" i="4"/>
  <c r="J641" i="4"/>
  <c r="I641" i="4"/>
  <c r="Y640" i="4"/>
  <c r="X640" i="4"/>
  <c r="R640" i="4"/>
  <c r="Q640" i="4"/>
  <c r="J640" i="4"/>
  <c r="I640" i="4"/>
  <c r="Y639" i="4"/>
  <c r="X639" i="4"/>
  <c r="R639" i="4"/>
  <c r="Q639" i="4"/>
  <c r="J639" i="4"/>
  <c r="I639" i="4"/>
  <c r="Y638" i="4"/>
  <c r="X638" i="4"/>
  <c r="R638" i="4"/>
  <c r="Q638" i="4"/>
  <c r="J638" i="4"/>
  <c r="I638" i="4"/>
  <c r="Y637" i="4"/>
  <c r="X637" i="4"/>
  <c r="R637" i="4"/>
  <c r="Q637" i="4"/>
  <c r="J637" i="4"/>
  <c r="I637" i="4"/>
  <c r="Y636" i="4"/>
  <c r="X636" i="4"/>
  <c r="R636" i="4"/>
  <c r="Q636" i="4"/>
  <c r="J636" i="4"/>
  <c r="I636" i="4"/>
  <c r="Y635" i="4"/>
  <c r="X635" i="4"/>
  <c r="R635" i="4"/>
  <c r="Q635" i="4"/>
  <c r="J635" i="4"/>
  <c r="I635" i="4"/>
  <c r="Y634" i="4"/>
  <c r="X634" i="4"/>
  <c r="R634" i="4"/>
  <c r="Q634" i="4"/>
  <c r="J634" i="4"/>
  <c r="I634" i="4"/>
  <c r="Y633" i="4"/>
  <c r="X633" i="4"/>
  <c r="R633" i="4"/>
  <c r="Q633" i="4"/>
  <c r="J633" i="4"/>
  <c r="I633" i="4"/>
  <c r="Y632" i="4"/>
  <c r="X632" i="4"/>
  <c r="R632" i="4"/>
  <c r="S632" i="4" s="1"/>
  <c r="Q632" i="4"/>
  <c r="J632" i="4"/>
  <c r="I632" i="4"/>
  <c r="Y631" i="4"/>
  <c r="X631" i="4"/>
  <c r="R631" i="4"/>
  <c r="Q631" i="4"/>
  <c r="J631" i="4"/>
  <c r="I631" i="4"/>
  <c r="Y630" i="4"/>
  <c r="X630" i="4"/>
  <c r="R630" i="4"/>
  <c r="Q630" i="4"/>
  <c r="J630" i="4"/>
  <c r="I630" i="4"/>
  <c r="Y629" i="4"/>
  <c r="X629" i="4"/>
  <c r="AD629" i="4" s="1"/>
  <c r="R629" i="4"/>
  <c r="Q629" i="4"/>
  <c r="J629" i="4"/>
  <c r="I629" i="4"/>
  <c r="Y628" i="4"/>
  <c r="X628" i="4"/>
  <c r="R628" i="4"/>
  <c r="Q628" i="4"/>
  <c r="J628" i="4"/>
  <c r="I628" i="4"/>
  <c r="Y627" i="4"/>
  <c r="X627" i="4"/>
  <c r="R627" i="4"/>
  <c r="Q627" i="4"/>
  <c r="J627" i="4"/>
  <c r="I627" i="4"/>
  <c r="Y626" i="4"/>
  <c r="X626" i="4"/>
  <c r="R626" i="4"/>
  <c r="Q626" i="4"/>
  <c r="J626" i="4"/>
  <c r="I626" i="4"/>
  <c r="Y625" i="4"/>
  <c r="X625" i="4"/>
  <c r="R625" i="4"/>
  <c r="Q625" i="4"/>
  <c r="J625" i="4"/>
  <c r="I625" i="4"/>
  <c r="Y624" i="4"/>
  <c r="X624" i="4"/>
  <c r="R624" i="4"/>
  <c r="Q624" i="4"/>
  <c r="J624" i="4"/>
  <c r="I624" i="4"/>
  <c r="Y623" i="4"/>
  <c r="X623" i="4"/>
  <c r="R623" i="4"/>
  <c r="Q623" i="4"/>
  <c r="J623" i="4"/>
  <c r="I623" i="4"/>
  <c r="Y622" i="4"/>
  <c r="X622" i="4"/>
  <c r="R622" i="4"/>
  <c r="Q622" i="4"/>
  <c r="J622" i="4"/>
  <c r="I622" i="4"/>
  <c r="Y621" i="4"/>
  <c r="X621" i="4"/>
  <c r="R621" i="4"/>
  <c r="Q621" i="4"/>
  <c r="J621" i="4"/>
  <c r="I621" i="4"/>
  <c r="Y620" i="4"/>
  <c r="X620" i="4"/>
  <c r="R620" i="4"/>
  <c r="Q620" i="4"/>
  <c r="J620" i="4"/>
  <c r="I620" i="4"/>
  <c r="Y619" i="4"/>
  <c r="X619" i="4"/>
  <c r="R619" i="4"/>
  <c r="Q619" i="4"/>
  <c r="J619" i="4"/>
  <c r="I619" i="4"/>
  <c r="Y618" i="4"/>
  <c r="X618" i="4"/>
  <c r="R618" i="4"/>
  <c r="Q618" i="4"/>
  <c r="J618" i="4"/>
  <c r="I618" i="4"/>
  <c r="Y617" i="4"/>
  <c r="X617" i="4"/>
  <c r="R617" i="4"/>
  <c r="Q617" i="4"/>
  <c r="J617" i="4"/>
  <c r="I617" i="4"/>
  <c r="Y616" i="4"/>
  <c r="X616" i="4"/>
  <c r="R616" i="4"/>
  <c r="Q616" i="4"/>
  <c r="J616" i="4"/>
  <c r="I616" i="4"/>
  <c r="Y615" i="4"/>
  <c r="X615" i="4"/>
  <c r="R615" i="4"/>
  <c r="Q615" i="4"/>
  <c r="J615" i="4"/>
  <c r="I615" i="4"/>
  <c r="Y614" i="4"/>
  <c r="X614" i="4"/>
  <c r="R614" i="4"/>
  <c r="Q614" i="4"/>
  <c r="J614" i="4"/>
  <c r="I614" i="4"/>
  <c r="Y613" i="4"/>
  <c r="X613" i="4"/>
  <c r="R613" i="4"/>
  <c r="Q613" i="4"/>
  <c r="J613" i="4"/>
  <c r="I613" i="4"/>
  <c r="Y612" i="4"/>
  <c r="X612" i="4"/>
  <c r="R612" i="4"/>
  <c r="Q612" i="4"/>
  <c r="J612" i="4"/>
  <c r="I612" i="4"/>
  <c r="Y611" i="4"/>
  <c r="X611" i="4"/>
  <c r="R611" i="4"/>
  <c r="Q611" i="4"/>
  <c r="J611" i="4"/>
  <c r="I611" i="4"/>
  <c r="Y610" i="4"/>
  <c r="X610" i="4"/>
  <c r="R610" i="4"/>
  <c r="Q610" i="4"/>
  <c r="J610" i="4"/>
  <c r="I610" i="4"/>
  <c r="Y609" i="4"/>
  <c r="X609" i="4"/>
  <c r="R609" i="4"/>
  <c r="Q609" i="4"/>
  <c r="J609" i="4"/>
  <c r="I609" i="4"/>
  <c r="Y608" i="4"/>
  <c r="X608" i="4"/>
  <c r="R608" i="4"/>
  <c r="Q608" i="4"/>
  <c r="J608" i="4"/>
  <c r="I608" i="4"/>
  <c r="Y607" i="4"/>
  <c r="X607" i="4"/>
  <c r="R607" i="4"/>
  <c r="Q607" i="4"/>
  <c r="J607" i="4"/>
  <c r="I607" i="4"/>
  <c r="Y606" i="4"/>
  <c r="X606" i="4"/>
  <c r="R606" i="4"/>
  <c r="Q606" i="4"/>
  <c r="J606" i="4"/>
  <c r="I606" i="4"/>
  <c r="Y605" i="4"/>
  <c r="X605" i="4"/>
  <c r="R605" i="4"/>
  <c r="Q605" i="4"/>
  <c r="J605" i="4"/>
  <c r="I605" i="4"/>
  <c r="Y604" i="4"/>
  <c r="X604" i="4"/>
  <c r="R604" i="4"/>
  <c r="Q604" i="4"/>
  <c r="J604" i="4"/>
  <c r="I604" i="4"/>
  <c r="Y603" i="4"/>
  <c r="X603" i="4"/>
  <c r="R603" i="4"/>
  <c r="Q603" i="4"/>
  <c r="J603" i="4"/>
  <c r="I603" i="4"/>
  <c r="Y602" i="4"/>
  <c r="X602" i="4"/>
  <c r="R602" i="4"/>
  <c r="Q602" i="4"/>
  <c r="J602" i="4"/>
  <c r="I602" i="4"/>
  <c r="Y601" i="4"/>
  <c r="X601" i="4"/>
  <c r="R601" i="4"/>
  <c r="Q601" i="4"/>
  <c r="J601" i="4"/>
  <c r="I601" i="4"/>
  <c r="Y600" i="4"/>
  <c r="X600" i="4"/>
  <c r="R600" i="4"/>
  <c r="Q600" i="4"/>
  <c r="J600" i="4"/>
  <c r="I600" i="4"/>
  <c r="Y599" i="4"/>
  <c r="X599" i="4"/>
  <c r="R599" i="4"/>
  <c r="Q599" i="4"/>
  <c r="J599" i="4"/>
  <c r="I599" i="4"/>
  <c r="Y598" i="4"/>
  <c r="X598" i="4"/>
  <c r="R598" i="4"/>
  <c r="Q598" i="4"/>
  <c r="J598" i="4"/>
  <c r="I598" i="4"/>
  <c r="Y597" i="4"/>
  <c r="X597" i="4"/>
  <c r="R597" i="4"/>
  <c r="Q597" i="4"/>
  <c r="J597" i="4"/>
  <c r="I597" i="4"/>
  <c r="Y596" i="4"/>
  <c r="X596" i="4"/>
  <c r="R596" i="4"/>
  <c r="Q596" i="4"/>
  <c r="J596" i="4"/>
  <c r="I596" i="4"/>
  <c r="Y595" i="4"/>
  <c r="X595" i="4"/>
  <c r="R595" i="4"/>
  <c r="Q595" i="4"/>
  <c r="J595" i="4"/>
  <c r="I595" i="4"/>
  <c r="Y594" i="4"/>
  <c r="X594" i="4"/>
  <c r="R594" i="4"/>
  <c r="Q594" i="4"/>
  <c r="J594" i="4"/>
  <c r="I594" i="4"/>
  <c r="Y593" i="4"/>
  <c r="X593" i="4"/>
  <c r="R593" i="4"/>
  <c r="Q593" i="4"/>
  <c r="J593" i="4"/>
  <c r="I593" i="4"/>
  <c r="Y592" i="4"/>
  <c r="X592" i="4"/>
  <c r="R592" i="4"/>
  <c r="Q592" i="4"/>
  <c r="J592" i="4"/>
  <c r="I592" i="4"/>
  <c r="Y591" i="4"/>
  <c r="X591" i="4"/>
  <c r="R591" i="4"/>
  <c r="Q591" i="4"/>
  <c r="J591" i="4"/>
  <c r="I591" i="4"/>
  <c r="Y590" i="4"/>
  <c r="X590" i="4"/>
  <c r="R590" i="4"/>
  <c r="Q590" i="4"/>
  <c r="J590" i="4"/>
  <c r="I590" i="4"/>
  <c r="Y589" i="4"/>
  <c r="X589" i="4"/>
  <c r="R589" i="4"/>
  <c r="Q589" i="4"/>
  <c r="J589" i="4"/>
  <c r="I589" i="4"/>
  <c r="Y588" i="4"/>
  <c r="AD588" i="4" s="1"/>
  <c r="X588" i="4"/>
  <c r="R588" i="4"/>
  <c r="Q588" i="4"/>
  <c r="J588" i="4"/>
  <c r="I588" i="4"/>
  <c r="Y587" i="4"/>
  <c r="X587" i="4"/>
  <c r="R587" i="4"/>
  <c r="Q587" i="4"/>
  <c r="J587" i="4"/>
  <c r="I587" i="4"/>
  <c r="Y586" i="4"/>
  <c r="X586" i="4"/>
  <c r="R586" i="4"/>
  <c r="Q586" i="4"/>
  <c r="J586" i="4"/>
  <c r="I586" i="4"/>
  <c r="Y585" i="4"/>
  <c r="X585" i="4"/>
  <c r="R585" i="4"/>
  <c r="Q585" i="4"/>
  <c r="J585" i="4"/>
  <c r="I585" i="4"/>
  <c r="Y584" i="4"/>
  <c r="X584" i="4"/>
  <c r="R584" i="4"/>
  <c r="Q584" i="4"/>
  <c r="J584" i="4"/>
  <c r="I584" i="4"/>
  <c r="Y583" i="4"/>
  <c r="X583" i="4"/>
  <c r="R583" i="4"/>
  <c r="Q583" i="4"/>
  <c r="J583" i="4"/>
  <c r="I583" i="4"/>
  <c r="Y582" i="4"/>
  <c r="X582" i="4"/>
  <c r="R582" i="4"/>
  <c r="Q582" i="4"/>
  <c r="J582" i="4"/>
  <c r="I582" i="4"/>
  <c r="Y581" i="4"/>
  <c r="X581" i="4"/>
  <c r="R581" i="4"/>
  <c r="Q581" i="4"/>
  <c r="J581" i="4"/>
  <c r="I581" i="4"/>
  <c r="Y580" i="4"/>
  <c r="X580" i="4"/>
  <c r="R580" i="4"/>
  <c r="Q580" i="4"/>
  <c r="J580" i="4"/>
  <c r="I580" i="4"/>
  <c r="Y579" i="4"/>
  <c r="X579" i="4"/>
  <c r="R579" i="4"/>
  <c r="Q579" i="4"/>
  <c r="J579" i="4"/>
  <c r="I579" i="4"/>
  <c r="Y578" i="4"/>
  <c r="X578" i="4"/>
  <c r="R578" i="4"/>
  <c r="Q578" i="4"/>
  <c r="J578" i="4"/>
  <c r="I578" i="4"/>
  <c r="Y577" i="4"/>
  <c r="X577" i="4"/>
  <c r="R577" i="4"/>
  <c r="Q577" i="4"/>
  <c r="J577" i="4"/>
  <c r="I577" i="4"/>
  <c r="Y576" i="4"/>
  <c r="X576" i="4"/>
  <c r="R576" i="4"/>
  <c r="Q576" i="4"/>
  <c r="J576" i="4"/>
  <c r="I576" i="4"/>
  <c r="Y575" i="4"/>
  <c r="X575" i="4"/>
  <c r="R575" i="4"/>
  <c r="Q575" i="4"/>
  <c r="J575" i="4"/>
  <c r="I575" i="4"/>
  <c r="Y574" i="4"/>
  <c r="X574" i="4"/>
  <c r="R574" i="4"/>
  <c r="Q574" i="4"/>
  <c r="J574" i="4"/>
  <c r="I574" i="4"/>
  <c r="Y573" i="4"/>
  <c r="X573" i="4"/>
  <c r="R573" i="4"/>
  <c r="Q573" i="4"/>
  <c r="J573" i="4"/>
  <c r="I573" i="4"/>
  <c r="Y572" i="4"/>
  <c r="X572" i="4"/>
  <c r="R572" i="4"/>
  <c r="Q572" i="4"/>
  <c r="J572" i="4"/>
  <c r="I572" i="4"/>
  <c r="Y571" i="4"/>
  <c r="X571" i="4"/>
  <c r="R571" i="4"/>
  <c r="Q571" i="4"/>
  <c r="J571" i="4"/>
  <c r="I571" i="4"/>
  <c r="Y570" i="4"/>
  <c r="X570" i="4"/>
  <c r="R570" i="4"/>
  <c r="Q570" i="4"/>
  <c r="J570" i="4"/>
  <c r="I570" i="4"/>
  <c r="Y569" i="4"/>
  <c r="X569" i="4"/>
  <c r="R569" i="4"/>
  <c r="Q569" i="4"/>
  <c r="J569" i="4"/>
  <c r="I569" i="4"/>
  <c r="Y568" i="4"/>
  <c r="X568" i="4"/>
  <c r="R568" i="4"/>
  <c r="Q568" i="4"/>
  <c r="J568" i="4"/>
  <c r="I568" i="4"/>
  <c r="Y567" i="4"/>
  <c r="X567" i="4"/>
  <c r="R567" i="4"/>
  <c r="Q567" i="4"/>
  <c r="J567" i="4"/>
  <c r="I567" i="4"/>
  <c r="Y566" i="4"/>
  <c r="X566" i="4"/>
  <c r="R566" i="4"/>
  <c r="Q566" i="4"/>
  <c r="J566" i="4"/>
  <c r="I566" i="4"/>
  <c r="Y565" i="4"/>
  <c r="X565" i="4"/>
  <c r="R565" i="4"/>
  <c r="Q565" i="4"/>
  <c r="J565" i="4"/>
  <c r="I565" i="4"/>
  <c r="Y564" i="4"/>
  <c r="X564" i="4"/>
  <c r="R564" i="4"/>
  <c r="Q564" i="4"/>
  <c r="J564" i="4"/>
  <c r="I564" i="4"/>
  <c r="Y563" i="4"/>
  <c r="X563" i="4"/>
  <c r="R563" i="4"/>
  <c r="Q563" i="4"/>
  <c r="J563" i="4"/>
  <c r="I563" i="4"/>
  <c r="Y562" i="4"/>
  <c r="X562" i="4"/>
  <c r="R562" i="4"/>
  <c r="Q562" i="4"/>
  <c r="J562" i="4"/>
  <c r="I562" i="4"/>
  <c r="Y561" i="4"/>
  <c r="X561" i="4"/>
  <c r="R561" i="4"/>
  <c r="Q561" i="4"/>
  <c r="J561" i="4"/>
  <c r="I561" i="4"/>
  <c r="Y560" i="4"/>
  <c r="X560" i="4"/>
  <c r="R560" i="4"/>
  <c r="Q560" i="4"/>
  <c r="J560" i="4"/>
  <c r="I560" i="4"/>
  <c r="Y559" i="4"/>
  <c r="X559" i="4"/>
  <c r="R559" i="4"/>
  <c r="Q559" i="4"/>
  <c r="J559" i="4"/>
  <c r="I559" i="4"/>
  <c r="Y558" i="4"/>
  <c r="AA558" i="4" s="1"/>
  <c r="X558" i="4"/>
  <c r="R558" i="4"/>
  <c r="Q558" i="4"/>
  <c r="J558" i="4"/>
  <c r="I558" i="4"/>
  <c r="Y557" i="4"/>
  <c r="X557" i="4"/>
  <c r="R557" i="4"/>
  <c r="Q557" i="4"/>
  <c r="J557" i="4"/>
  <c r="I557" i="4"/>
  <c r="Y556" i="4"/>
  <c r="X556" i="4"/>
  <c r="R556" i="4"/>
  <c r="Q556" i="4"/>
  <c r="J556" i="4"/>
  <c r="I556" i="4"/>
  <c r="Y555" i="4"/>
  <c r="X555" i="4"/>
  <c r="R555" i="4"/>
  <c r="Q555" i="4"/>
  <c r="J555" i="4"/>
  <c r="I555" i="4"/>
  <c r="Y554" i="4"/>
  <c r="X554" i="4"/>
  <c r="R554" i="4"/>
  <c r="Q554" i="4"/>
  <c r="J554" i="4"/>
  <c r="I554" i="4"/>
  <c r="Y553" i="4"/>
  <c r="X553" i="4"/>
  <c r="R553" i="4"/>
  <c r="Q553" i="4"/>
  <c r="J553" i="4"/>
  <c r="I553" i="4"/>
  <c r="Y552" i="4"/>
  <c r="X552" i="4"/>
  <c r="R552" i="4"/>
  <c r="Q552" i="4"/>
  <c r="J552" i="4"/>
  <c r="I552" i="4"/>
  <c r="Y551" i="4"/>
  <c r="X551" i="4"/>
  <c r="R551" i="4"/>
  <c r="Q551" i="4"/>
  <c r="J551" i="4"/>
  <c r="I551" i="4"/>
  <c r="Y550" i="4"/>
  <c r="X550" i="4"/>
  <c r="R550" i="4"/>
  <c r="Q550" i="4"/>
  <c r="J550" i="4"/>
  <c r="I550" i="4"/>
  <c r="Y549" i="4"/>
  <c r="X549" i="4"/>
  <c r="R549" i="4"/>
  <c r="Q549" i="4"/>
  <c r="J549" i="4"/>
  <c r="I549" i="4"/>
  <c r="Y548" i="4"/>
  <c r="X548" i="4"/>
  <c r="R548" i="4"/>
  <c r="Q548" i="4"/>
  <c r="J548" i="4"/>
  <c r="I548" i="4"/>
  <c r="Y547" i="4"/>
  <c r="X547" i="4"/>
  <c r="R547" i="4"/>
  <c r="Q547" i="4"/>
  <c r="J547" i="4"/>
  <c r="I547" i="4"/>
  <c r="Y546" i="4"/>
  <c r="X546" i="4"/>
  <c r="R546" i="4"/>
  <c r="Q546" i="4"/>
  <c r="J546" i="4"/>
  <c r="I546" i="4"/>
  <c r="Y545" i="4"/>
  <c r="X545" i="4"/>
  <c r="R545" i="4"/>
  <c r="Q545" i="4"/>
  <c r="J545" i="4"/>
  <c r="I545" i="4"/>
  <c r="Y544" i="4"/>
  <c r="X544" i="4"/>
  <c r="R544" i="4"/>
  <c r="Q544" i="4"/>
  <c r="J544" i="4"/>
  <c r="I544" i="4"/>
  <c r="Y543" i="4"/>
  <c r="X543" i="4"/>
  <c r="R543" i="4"/>
  <c r="Q543" i="4"/>
  <c r="J543" i="4"/>
  <c r="I543" i="4"/>
  <c r="Y542" i="4"/>
  <c r="X542" i="4"/>
  <c r="R542" i="4"/>
  <c r="Q542" i="4"/>
  <c r="J542" i="4"/>
  <c r="I542" i="4"/>
  <c r="Y541" i="4"/>
  <c r="X541" i="4"/>
  <c r="R541" i="4"/>
  <c r="Q541" i="4"/>
  <c r="J541" i="4"/>
  <c r="I541" i="4"/>
  <c r="Y540" i="4"/>
  <c r="X540" i="4"/>
  <c r="R540" i="4"/>
  <c r="Q540" i="4"/>
  <c r="J540" i="4"/>
  <c r="I540" i="4"/>
  <c r="Y539" i="4"/>
  <c r="X539" i="4"/>
  <c r="R539" i="4"/>
  <c r="Q539" i="4"/>
  <c r="J539" i="4"/>
  <c r="I539" i="4"/>
  <c r="Y538" i="4"/>
  <c r="X538" i="4"/>
  <c r="R538" i="4"/>
  <c r="Q538" i="4"/>
  <c r="J538" i="4"/>
  <c r="I538" i="4"/>
  <c r="Y537" i="4"/>
  <c r="X537" i="4"/>
  <c r="R537" i="4"/>
  <c r="Q537" i="4"/>
  <c r="J537" i="4"/>
  <c r="I537" i="4"/>
  <c r="Y536" i="4"/>
  <c r="X536" i="4"/>
  <c r="R536" i="4"/>
  <c r="Q536" i="4"/>
  <c r="J536" i="4"/>
  <c r="I536" i="4"/>
  <c r="Y535" i="4"/>
  <c r="X535" i="4"/>
  <c r="R535" i="4"/>
  <c r="Q535" i="4"/>
  <c r="J535" i="4"/>
  <c r="I535" i="4"/>
  <c r="Y534" i="4"/>
  <c r="X534" i="4"/>
  <c r="R534" i="4"/>
  <c r="Q534" i="4"/>
  <c r="J534" i="4"/>
  <c r="I534" i="4"/>
  <c r="Y533" i="4"/>
  <c r="X533" i="4"/>
  <c r="R533" i="4"/>
  <c r="Q533" i="4"/>
  <c r="J533" i="4"/>
  <c r="I533" i="4"/>
  <c r="Y532" i="4"/>
  <c r="X532" i="4"/>
  <c r="R532" i="4"/>
  <c r="Q532" i="4"/>
  <c r="J532" i="4"/>
  <c r="I532" i="4"/>
  <c r="Y531" i="4"/>
  <c r="X531" i="4"/>
  <c r="R531" i="4"/>
  <c r="Q531" i="4"/>
  <c r="J531" i="4"/>
  <c r="I531" i="4"/>
  <c r="Y530" i="4"/>
  <c r="X530" i="4"/>
  <c r="R530" i="4"/>
  <c r="Q530" i="4"/>
  <c r="J530" i="4"/>
  <c r="I530" i="4"/>
  <c r="Y529" i="4"/>
  <c r="X529" i="4"/>
  <c r="R529" i="4"/>
  <c r="Q529" i="4"/>
  <c r="J529" i="4"/>
  <c r="I529" i="4"/>
  <c r="Y528" i="4"/>
  <c r="X528" i="4"/>
  <c r="R528" i="4"/>
  <c r="Q528" i="4"/>
  <c r="J528" i="4"/>
  <c r="I528" i="4"/>
  <c r="Y527" i="4"/>
  <c r="X527" i="4"/>
  <c r="R527" i="4"/>
  <c r="Q527" i="4"/>
  <c r="J527" i="4"/>
  <c r="I527" i="4"/>
  <c r="Y526" i="4"/>
  <c r="X526" i="4"/>
  <c r="R526" i="4"/>
  <c r="Q526" i="4"/>
  <c r="J526" i="4"/>
  <c r="I526" i="4"/>
  <c r="Y525" i="4"/>
  <c r="X525" i="4"/>
  <c r="R525" i="4"/>
  <c r="Q525" i="4"/>
  <c r="J525" i="4"/>
  <c r="I525" i="4"/>
  <c r="Y524" i="4"/>
  <c r="X524" i="4"/>
  <c r="R524" i="4"/>
  <c r="Q524" i="4"/>
  <c r="J524" i="4"/>
  <c r="I524" i="4"/>
  <c r="Y523" i="4"/>
  <c r="X523" i="4"/>
  <c r="R523" i="4"/>
  <c r="Q523" i="4"/>
  <c r="J523" i="4"/>
  <c r="I523" i="4"/>
  <c r="Y522" i="4"/>
  <c r="X522" i="4"/>
  <c r="R522" i="4"/>
  <c r="Q522" i="4"/>
  <c r="J522" i="4"/>
  <c r="I522" i="4"/>
  <c r="Y521" i="4"/>
  <c r="X521" i="4"/>
  <c r="R521" i="4"/>
  <c r="Q521" i="4"/>
  <c r="J521" i="4"/>
  <c r="I521" i="4"/>
  <c r="Y520" i="4"/>
  <c r="X520" i="4"/>
  <c r="R520" i="4"/>
  <c r="Q520" i="4"/>
  <c r="J520" i="4"/>
  <c r="I520" i="4"/>
  <c r="Y519" i="4"/>
  <c r="X519" i="4"/>
  <c r="R519" i="4"/>
  <c r="Q519" i="4"/>
  <c r="J519" i="4"/>
  <c r="I519" i="4"/>
  <c r="Y518" i="4"/>
  <c r="X518" i="4"/>
  <c r="R518" i="4"/>
  <c r="Q518" i="4"/>
  <c r="J518" i="4"/>
  <c r="I518" i="4"/>
  <c r="Y517" i="4"/>
  <c r="X517" i="4"/>
  <c r="R517" i="4"/>
  <c r="Q517" i="4"/>
  <c r="J517" i="4"/>
  <c r="I517" i="4"/>
  <c r="Y516" i="4"/>
  <c r="X516" i="4"/>
  <c r="R516" i="4"/>
  <c r="Q516" i="4"/>
  <c r="J516" i="4"/>
  <c r="I516" i="4"/>
  <c r="Y515" i="4"/>
  <c r="X515" i="4"/>
  <c r="R515" i="4"/>
  <c r="Q515" i="4"/>
  <c r="J515" i="4"/>
  <c r="I515" i="4"/>
  <c r="Y514" i="4"/>
  <c r="X514" i="4"/>
  <c r="R514" i="4"/>
  <c r="Q514" i="4"/>
  <c r="J514" i="4"/>
  <c r="I514" i="4"/>
  <c r="Y513" i="4"/>
  <c r="X513" i="4"/>
  <c r="R513" i="4"/>
  <c r="Q513" i="4"/>
  <c r="J513" i="4"/>
  <c r="I513" i="4"/>
  <c r="Y512" i="4"/>
  <c r="X512" i="4"/>
  <c r="R512" i="4"/>
  <c r="Q512" i="4"/>
  <c r="J512" i="4"/>
  <c r="I512" i="4"/>
  <c r="Y511" i="4"/>
  <c r="X511" i="4"/>
  <c r="R511" i="4"/>
  <c r="Q511" i="4"/>
  <c r="J511" i="4"/>
  <c r="I511" i="4"/>
  <c r="Y510" i="4"/>
  <c r="X510" i="4"/>
  <c r="R510" i="4"/>
  <c r="Q510" i="4"/>
  <c r="J510" i="4"/>
  <c r="I510" i="4"/>
  <c r="Y509" i="4"/>
  <c r="X509" i="4"/>
  <c r="R509" i="4"/>
  <c r="Q509" i="4"/>
  <c r="J509" i="4"/>
  <c r="I509" i="4"/>
  <c r="Y508" i="4"/>
  <c r="X508" i="4"/>
  <c r="R508" i="4"/>
  <c r="Q508" i="4"/>
  <c r="J508" i="4"/>
  <c r="I508" i="4"/>
  <c r="Y507" i="4"/>
  <c r="X507" i="4"/>
  <c r="R507" i="4"/>
  <c r="Q507" i="4"/>
  <c r="J507" i="4"/>
  <c r="I507" i="4"/>
  <c r="Y506" i="4"/>
  <c r="X506" i="4"/>
  <c r="R506" i="4"/>
  <c r="Q506" i="4"/>
  <c r="J506" i="4"/>
  <c r="I506" i="4"/>
  <c r="Y505" i="4"/>
  <c r="X505" i="4"/>
  <c r="R505" i="4"/>
  <c r="Q505" i="4"/>
  <c r="J505" i="4"/>
  <c r="I505" i="4"/>
  <c r="Y504" i="4"/>
  <c r="X504" i="4"/>
  <c r="R504" i="4"/>
  <c r="Q504" i="4"/>
  <c r="J504" i="4"/>
  <c r="I504" i="4"/>
  <c r="Y503" i="4"/>
  <c r="X503" i="4"/>
  <c r="R503" i="4"/>
  <c r="Q503" i="4"/>
  <c r="J503" i="4"/>
  <c r="I503" i="4"/>
  <c r="Y502" i="4"/>
  <c r="X502" i="4"/>
  <c r="R502" i="4"/>
  <c r="Q502" i="4"/>
  <c r="J502" i="4"/>
  <c r="I502" i="4"/>
  <c r="Y501" i="4"/>
  <c r="X501" i="4"/>
  <c r="R501" i="4"/>
  <c r="Q501" i="4"/>
  <c r="J501" i="4"/>
  <c r="I501" i="4"/>
  <c r="Y500" i="4"/>
  <c r="X500" i="4"/>
  <c r="R500" i="4"/>
  <c r="Q500" i="4"/>
  <c r="J500" i="4"/>
  <c r="I500" i="4"/>
  <c r="Y499" i="4"/>
  <c r="X499" i="4"/>
  <c r="R499" i="4"/>
  <c r="Q499" i="4"/>
  <c r="J499" i="4"/>
  <c r="I499" i="4"/>
  <c r="Y498" i="4"/>
  <c r="X498" i="4"/>
  <c r="R498" i="4"/>
  <c r="Q498" i="4"/>
  <c r="J498" i="4"/>
  <c r="I498" i="4"/>
  <c r="Y497" i="4"/>
  <c r="X497" i="4"/>
  <c r="R497" i="4"/>
  <c r="Q497" i="4"/>
  <c r="J497" i="4"/>
  <c r="I497" i="4"/>
  <c r="Y496" i="4"/>
  <c r="X496" i="4"/>
  <c r="R496" i="4"/>
  <c r="Q496" i="4"/>
  <c r="J496" i="4"/>
  <c r="I496" i="4"/>
  <c r="Y495" i="4"/>
  <c r="X495" i="4"/>
  <c r="R495" i="4"/>
  <c r="Q495" i="4"/>
  <c r="J495" i="4"/>
  <c r="I495" i="4"/>
  <c r="Y494" i="4"/>
  <c r="X494" i="4"/>
  <c r="R494" i="4"/>
  <c r="Q494" i="4"/>
  <c r="J494" i="4"/>
  <c r="I494" i="4"/>
  <c r="Y493" i="4"/>
  <c r="X493" i="4"/>
  <c r="R493" i="4"/>
  <c r="Q493" i="4"/>
  <c r="J493" i="4"/>
  <c r="I493" i="4"/>
  <c r="Y492" i="4"/>
  <c r="X492" i="4"/>
  <c r="R492" i="4"/>
  <c r="Q492" i="4"/>
  <c r="J492" i="4"/>
  <c r="I492" i="4"/>
  <c r="Y491" i="4"/>
  <c r="X491" i="4"/>
  <c r="R491" i="4"/>
  <c r="Q491" i="4"/>
  <c r="J491" i="4"/>
  <c r="I491" i="4"/>
  <c r="Y490" i="4"/>
  <c r="X490" i="4"/>
  <c r="R490" i="4"/>
  <c r="Q490" i="4"/>
  <c r="J490" i="4"/>
  <c r="I490" i="4"/>
  <c r="Y489" i="4"/>
  <c r="X489" i="4"/>
  <c r="R489" i="4"/>
  <c r="Q489" i="4"/>
  <c r="J489" i="4"/>
  <c r="I489" i="4"/>
  <c r="Y488" i="4"/>
  <c r="X488" i="4"/>
  <c r="R488" i="4"/>
  <c r="Q488" i="4"/>
  <c r="J488" i="4"/>
  <c r="I488" i="4"/>
  <c r="Y487" i="4"/>
  <c r="X487" i="4"/>
  <c r="R487" i="4"/>
  <c r="Q487" i="4"/>
  <c r="J487" i="4"/>
  <c r="I487" i="4"/>
  <c r="Y486" i="4"/>
  <c r="X486" i="4"/>
  <c r="R486" i="4"/>
  <c r="Q486" i="4"/>
  <c r="J486" i="4"/>
  <c r="I486" i="4"/>
  <c r="Y485" i="4"/>
  <c r="X485" i="4"/>
  <c r="R485" i="4"/>
  <c r="Q485" i="4"/>
  <c r="J485" i="4"/>
  <c r="I485" i="4"/>
  <c r="Y484" i="4"/>
  <c r="X484" i="4"/>
  <c r="R484" i="4"/>
  <c r="Q484" i="4"/>
  <c r="J484" i="4"/>
  <c r="I484" i="4"/>
  <c r="Y483" i="4"/>
  <c r="X483" i="4"/>
  <c r="R483" i="4"/>
  <c r="Q483" i="4"/>
  <c r="J483" i="4"/>
  <c r="I483" i="4"/>
  <c r="Y482" i="4"/>
  <c r="X482" i="4"/>
  <c r="R482" i="4"/>
  <c r="Q482" i="4"/>
  <c r="J482" i="4"/>
  <c r="I482" i="4"/>
  <c r="Y481" i="4"/>
  <c r="X481" i="4"/>
  <c r="R481" i="4"/>
  <c r="Q481" i="4"/>
  <c r="J481" i="4"/>
  <c r="I481" i="4"/>
  <c r="Y480" i="4"/>
  <c r="X480" i="4"/>
  <c r="R480" i="4"/>
  <c r="Q480" i="4"/>
  <c r="J480" i="4"/>
  <c r="I480" i="4"/>
  <c r="Y479" i="4"/>
  <c r="X479" i="4"/>
  <c r="R479" i="4"/>
  <c r="Q479" i="4"/>
  <c r="J479" i="4"/>
  <c r="I479" i="4"/>
  <c r="Y478" i="4"/>
  <c r="X478" i="4"/>
  <c r="R478" i="4"/>
  <c r="Q478" i="4"/>
  <c r="J478" i="4"/>
  <c r="I478" i="4"/>
  <c r="Y477" i="4"/>
  <c r="X477" i="4"/>
  <c r="R477" i="4"/>
  <c r="Q477" i="4"/>
  <c r="J477" i="4"/>
  <c r="I477" i="4"/>
  <c r="Y476" i="4"/>
  <c r="X476" i="4"/>
  <c r="R476" i="4"/>
  <c r="Q476" i="4"/>
  <c r="J476" i="4"/>
  <c r="I476" i="4"/>
  <c r="Y475" i="4"/>
  <c r="X475" i="4"/>
  <c r="R475" i="4"/>
  <c r="Q475" i="4"/>
  <c r="J475" i="4"/>
  <c r="I475" i="4"/>
  <c r="Y474" i="4"/>
  <c r="X474" i="4"/>
  <c r="R474" i="4"/>
  <c r="Q474" i="4"/>
  <c r="J474" i="4"/>
  <c r="I474" i="4"/>
  <c r="Y473" i="4"/>
  <c r="X473" i="4"/>
  <c r="R473" i="4"/>
  <c r="Q473" i="4"/>
  <c r="J473" i="4"/>
  <c r="I473" i="4"/>
  <c r="Y472" i="4"/>
  <c r="X472" i="4"/>
  <c r="R472" i="4"/>
  <c r="Q472" i="4"/>
  <c r="J472" i="4"/>
  <c r="I472" i="4"/>
  <c r="Y471" i="4"/>
  <c r="X471" i="4"/>
  <c r="R471" i="4"/>
  <c r="Q471" i="4"/>
  <c r="J471" i="4"/>
  <c r="I471" i="4"/>
  <c r="Y470" i="4"/>
  <c r="X470" i="4"/>
  <c r="R470" i="4"/>
  <c r="Q470" i="4"/>
  <c r="J470" i="4"/>
  <c r="I470" i="4"/>
  <c r="Y469" i="4"/>
  <c r="X469" i="4"/>
  <c r="R469" i="4"/>
  <c r="Q469" i="4"/>
  <c r="J469" i="4"/>
  <c r="I469" i="4"/>
  <c r="Y468" i="4"/>
  <c r="X468" i="4"/>
  <c r="R468" i="4"/>
  <c r="Q468" i="4"/>
  <c r="J468" i="4"/>
  <c r="I468" i="4"/>
  <c r="Y467" i="4"/>
  <c r="X467" i="4"/>
  <c r="R467" i="4"/>
  <c r="Q467" i="4"/>
  <c r="J467" i="4"/>
  <c r="I467" i="4"/>
  <c r="Y466" i="4"/>
  <c r="X466" i="4"/>
  <c r="R466" i="4"/>
  <c r="Q466" i="4"/>
  <c r="J466" i="4"/>
  <c r="I466" i="4"/>
  <c r="Y465" i="4"/>
  <c r="X465" i="4"/>
  <c r="R465" i="4"/>
  <c r="Q465" i="4"/>
  <c r="J465" i="4"/>
  <c r="I465" i="4"/>
  <c r="Y464" i="4"/>
  <c r="X464" i="4"/>
  <c r="R464" i="4"/>
  <c r="Q464" i="4"/>
  <c r="J464" i="4"/>
  <c r="I464" i="4"/>
  <c r="Y463" i="4"/>
  <c r="X463" i="4"/>
  <c r="R463" i="4"/>
  <c r="Q463" i="4"/>
  <c r="J463" i="4"/>
  <c r="I463" i="4"/>
  <c r="Y462" i="4"/>
  <c r="X462" i="4"/>
  <c r="R462" i="4"/>
  <c r="Q462" i="4"/>
  <c r="J462" i="4"/>
  <c r="I462" i="4"/>
  <c r="Y461" i="4"/>
  <c r="X461" i="4"/>
  <c r="R461" i="4"/>
  <c r="Q461" i="4"/>
  <c r="J461" i="4"/>
  <c r="I461" i="4"/>
  <c r="Y460" i="4"/>
  <c r="X460" i="4"/>
  <c r="R460" i="4"/>
  <c r="Q460" i="4"/>
  <c r="J460" i="4"/>
  <c r="I460" i="4"/>
  <c r="Y459" i="4"/>
  <c r="X459" i="4"/>
  <c r="R459" i="4"/>
  <c r="Q459" i="4"/>
  <c r="J459" i="4"/>
  <c r="I459" i="4"/>
  <c r="Y458" i="4"/>
  <c r="X458" i="4"/>
  <c r="R458" i="4"/>
  <c r="Q458" i="4"/>
  <c r="J458" i="4"/>
  <c r="I458" i="4"/>
  <c r="Y457" i="4"/>
  <c r="X457" i="4"/>
  <c r="R457" i="4"/>
  <c r="Q457" i="4"/>
  <c r="J457" i="4"/>
  <c r="I457" i="4"/>
  <c r="Y456" i="4"/>
  <c r="X456" i="4"/>
  <c r="R456" i="4"/>
  <c r="Q456" i="4"/>
  <c r="J456" i="4"/>
  <c r="I456" i="4"/>
  <c r="Y455" i="4"/>
  <c r="X455" i="4"/>
  <c r="R455" i="4"/>
  <c r="Q455" i="4"/>
  <c r="J455" i="4"/>
  <c r="I455" i="4"/>
  <c r="Y454" i="4"/>
  <c r="X454" i="4"/>
  <c r="R454" i="4"/>
  <c r="Q454" i="4"/>
  <c r="J454" i="4"/>
  <c r="I454" i="4"/>
  <c r="Y453" i="4"/>
  <c r="X453" i="4"/>
  <c r="R453" i="4"/>
  <c r="Q453" i="4"/>
  <c r="J453" i="4"/>
  <c r="I453" i="4"/>
  <c r="Y452" i="4"/>
  <c r="X452" i="4"/>
  <c r="R452" i="4"/>
  <c r="Q452" i="4"/>
  <c r="J452" i="4"/>
  <c r="I452" i="4"/>
  <c r="Y451" i="4"/>
  <c r="X451" i="4"/>
  <c r="R451" i="4"/>
  <c r="Q451" i="4"/>
  <c r="J451" i="4"/>
  <c r="I451" i="4"/>
  <c r="Y450" i="4"/>
  <c r="X450" i="4"/>
  <c r="R450" i="4"/>
  <c r="Q450" i="4"/>
  <c r="J450" i="4"/>
  <c r="I450" i="4"/>
  <c r="Y449" i="4"/>
  <c r="X449" i="4"/>
  <c r="R449" i="4"/>
  <c r="Q449" i="4"/>
  <c r="J449" i="4"/>
  <c r="I449" i="4"/>
  <c r="Y448" i="4"/>
  <c r="X448" i="4"/>
  <c r="R448" i="4"/>
  <c r="Q448" i="4"/>
  <c r="J448" i="4"/>
  <c r="I448" i="4"/>
  <c r="Y447" i="4"/>
  <c r="X447" i="4"/>
  <c r="R447" i="4"/>
  <c r="Q447" i="4"/>
  <c r="W447" i="4" s="1"/>
  <c r="J447" i="4"/>
  <c r="I447" i="4"/>
  <c r="Y446" i="4"/>
  <c r="X446" i="4"/>
  <c r="R446" i="4"/>
  <c r="Q446" i="4"/>
  <c r="J446" i="4"/>
  <c r="I446" i="4"/>
  <c r="Y445" i="4"/>
  <c r="X445" i="4"/>
  <c r="R445" i="4"/>
  <c r="Q445" i="4"/>
  <c r="J445" i="4"/>
  <c r="I445" i="4"/>
  <c r="Y444" i="4"/>
  <c r="X444" i="4"/>
  <c r="R444" i="4"/>
  <c r="Q444" i="4"/>
  <c r="J444" i="4"/>
  <c r="I444" i="4"/>
  <c r="Y443" i="4"/>
  <c r="X443" i="4"/>
  <c r="R443" i="4"/>
  <c r="Q443" i="4"/>
  <c r="J443" i="4"/>
  <c r="I443" i="4"/>
  <c r="Y442" i="4"/>
  <c r="X442" i="4"/>
  <c r="R442" i="4"/>
  <c r="Q442" i="4"/>
  <c r="J442" i="4"/>
  <c r="I442" i="4"/>
  <c r="Y441" i="4"/>
  <c r="X441" i="4"/>
  <c r="R441" i="4"/>
  <c r="Q441" i="4"/>
  <c r="J441" i="4"/>
  <c r="I441" i="4"/>
  <c r="Y440" i="4"/>
  <c r="X440" i="4"/>
  <c r="R440" i="4"/>
  <c r="Q440" i="4"/>
  <c r="J440" i="4"/>
  <c r="I440" i="4"/>
  <c r="Y439" i="4"/>
  <c r="X439" i="4"/>
  <c r="R439" i="4"/>
  <c r="Q439" i="4"/>
  <c r="J439" i="4"/>
  <c r="I439" i="4"/>
  <c r="Y438" i="4"/>
  <c r="X438" i="4"/>
  <c r="R438" i="4"/>
  <c r="Q438" i="4"/>
  <c r="J438" i="4"/>
  <c r="I438" i="4"/>
  <c r="Y437" i="4"/>
  <c r="X437" i="4"/>
  <c r="R437" i="4"/>
  <c r="Q437" i="4"/>
  <c r="J437" i="4"/>
  <c r="I437" i="4"/>
  <c r="Y436" i="4"/>
  <c r="X436" i="4"/>
  <c r="R436" i="4"/>
  <c r="Q436" i="4"/>
  <c r="J436" i="4"/>
  <c r="I436" i="4"/>
  <c r="Y435" i="4"/>
  <c r="X435" i="4"/>
  <c r="R435" i="4"/>
  <c r="Q435" i="4"/>
  <c r="J435" i="4"/>
  <c r="I435" i="4"/>
  <c r="Y434" i="4"/>
  <c r="X434" i="4"/>
  <c r="R434" i="4"/>
  <c r="Q434" i="4"/>
  <c r="J434" i="4"/>
  <c r="I434" i="4"/>
  <c r="Y433" i="4"/>
  <c r="X433" i="4"/>
  <c r="R433" i="4"/>
  <c r="Q433" i="4"/>
  <c r="J433" i="4"/>
  <c r="I433" i="4"/>
  <c r="Y432" i="4"/>
  <c r="X432" i="4"/>
  <c r="R432" i="4"/>
  <c r="Q432" i="4"/>
  <c r="J432" i="4"/>
  <c r="I432" i="4"/>
  <c r="Y431" i="4"/>
  <c r="X431" i="4"/>
  <c r="R431" i="4"/>
  <c r="Q431" i="4"/>
  <c r="J431" i="4"/>
  <c r="I431" i="4"/>
  <c r="Y430" i="4"/>
  <c r="X430" i="4"/>
  <c r="R430" i="4"/>
  <c r="Q430" i="4"/>
  <c r="J430" i="4"/>
  <c r="I430" i="4"/>
  <c r="Y429" i="4"/>
  <c r="X429" i="4"/>
  <c r="R429" i="4"/>
  <c r="Q429" i="4"/>
  <c r="J429" i="4"/>
  <c r="I429" i="4"/>
  <c r="Y428" i="4"/>
  <c r="X428" i="4"/>
  <c r="R428" i="4"/>
  <c r="Q428" i="4"/>
  <c r="J428" i="4"/>
  <c r="I428" i="4"/>
  <c r="Y427" i="4"/>
  <c r="X427" i="4"/>
  <c r="R427" i="4"/>
  <c r="Q427" i="4"/>
  <c r="J427" i="4"/>
  <c r="I427" i="4"/>
  <c r="Y426" i="4"/>
  <c r="X426" i="4"/>
  <c r="R426" i="4"/>
  <c r="Q426" i="4"/>
  <c r="J426" i="4"/>
  <c r="I426" i="4"/>
  <c r="Y425" i="4"/>
  <c r="X425" i="4"/>
  <c r="R425" i="4"/>
  <c r="Q425" i="4"/>
  <c r="J425" i="4"/>
  <c r="I425" i="4"/>
  <c r="Y424" i="4"/>
  <c r="X424" i="4"/>
  <c r="R424" i="4"/>
  <c r="Q424" i="4"/>
  <c r="J424" i="4"/>
  <c r="I424" i="4"/>
  <c r="Y423" i="4"/>
  <c r="X423" i="4"/>
  <c r="R423" i="4"/>
  <c r="Q423" i="4"/>
  <c r="J423" i="4"/>
  <c r="I423" i="4"/>
  <c r="Y422" i="4"/>
  <c r="X422" i="4"/>
  <c r="R422" i="4"/>
  <c r="Q422" i="4"/>
  <c r="J422" i="4"/>
  <c r="I422" i="4"/>
  <c r="Y421" i="4"/>
  <c r="X421" i="4"/>
  <c r="R421" i="4"/>
  <c r="Q421" i="4"/>
  <c r="J421" i="4"/>
  <c r="I421" i="4"/>
  <c r="Y420" i="4"/>
  <c r="X420" i="4"/>
  <c r="R420" i="4"/>
  <c r="Q420" i="4"/>
  <c r="J420" i="4"/>
  <c r="I420" i="4"/>
  <c r="Y419" i="4"/>
  <c r="X419" i="4"/>
  <c r="R419" i="4"/>
  <c r="Q419" i="4"/>
  <c r="J419" i="4"/>
  <c r="I419" i="4"/>
  <c r="Y418" i="4"/>
  <c r="X418" i="4"/>
  <c r="R418" i="4"/>
  <c r="Q418" i="4"/>
  <c r="J418" i="4"/>
  <c r="I418" i="4"/>
  <c r="Y417" i="4"/>
  <c r="X417" i="4"/>
  <c r="R417" i="4"/>
  <c r="Q417" i="4"/>
  <c r="S417" i="4" s="1"/>
  <c r="J417" i="4"/>
  <c r="I417" i="4"/>
  <c r="Y416" i="4"/>
  <c r="X416" i="4"/>
  <c r="R416" i="4"/>
  <c r="Q416" i="4"/>
  <c r="J416" i="4"/>
  <c r="I416" i="4"/>
  <c r="Y415" i="4"/>
  <c r="X415" i="4"/>
  <c r="R415" i="4"/>
  <c r="Q415" i="4"/>
  <c r="J415" i="4"/>
  <c r="I415" i="4"/>
  <c r="Y414" i="4"/>
  <c r="X414" i="4"/>
  <c r="R414" i="4"/>
  <c r="Q414" i="4"/>
  <c r="J414" i="4"/>
  <c r="I414" i="4"/>
  <c r="Y413" i="4"/>
  <c r="X413" i="4"/>
  <c r="R413" i="4"/>
  <c r="Q413" i="4"/>
  <c r="J413" i="4"/>
  <c r="I413" i="4"/>
  <c r="Y412" i="4"/>
  <c r="X412" i="4"/>
  <c r="R412" i="4"/>
  <c r="Q412" i="4"/>
  <c r="J412" i="4"/>
  <c r="I412" i="4"/>
  <c r="Y411" i="4"/>
  <c r="X411" i="4"/>
  <c r="R411" i="4"/>
  <c r="Q411" i="4"/>
  <c r="J411" i="4"/>
  <c r="I411" i="4"/>
  <c r="Y410" i="4"/>
  <c r="X410" i="4"/>
  <c r="R410" i="4"/>
  <c r="Q410" i="4"/>
  <c r="J410" i="4"/>
  <c r="I410" i="4"/>
  <c r="Y409" i="4"/>
  <c r="X409" i="4"/>
  <c r="R409" i="4"/>
  <c r="Q409" i="4"/>
  <c r="J409" i="4"/>
  <c r="I409" i="4"/>
  <c r="Y408" i="4"/>
  <c r="X408" i="4"/>
  <c r="R408" i="4"/>
  <c r="Q408" i="4"/>
  <c r="J408" i="4"/>
  <c r="I408" i="4"/>
  <c r="Y407" i="4"/>
  <c r="X407" i="4"/>
  <c r="R407" i="4"/>
  <c r="Q407" i="4"/>
  <c r="J407" i="4"/>
  <c r="I407" i="4"/>
  <c r="Y406" i="4"/>
  <c r="X406" i="4"/>
  <c r="R406" i="4"/>
  <c r="Q406" i="4"/>
  <c r="J406" i="4"/>
  <c r="I406" i="4"/>
  <c r="Y405" i="4"/>
  <c r="X405" i="4"/>
  <c r="R405" i="4"/>
  <c r="Q405" i="4"/>
  <c r="J405" i="4"/>
  <c r="I405" i="4"/>
  <c r="Y404" i="4"/>
  <c r="X404" i="4"/>
  <c r="R404" i="4"/>
  <c r="Q404" i="4"/>
  <c r="J404" i="4"/>
  <c r="I404" i="4"/>
  <c r="Y403" i="4"/>
  <c r="X403" i="4"/>
  <c r="R403" i="4"/>
  <c r="Q403" i="4"/>
  <c r="J403" i="4"/>
  <c r="I403" i="4"/>
  <c r="Y402" i="4"/>
  <c r="X402" i="4"/>
  <c r="R402" i="4"/>
  <c r="Q402" i="4"/>
  <c r="J402" i="4"/>
  <c r="I402" i="4"/>
  <c r="Y401" i="4"/>
  <c r="X401" i="4"/>
  <c r="R401" i="4"/>
  <c r="Q401" i="4"/>
  <c r="J401" i="4"/>
  <c r="I401" i="4"/>
  <c r="Y400" i="4"/>
  <c r="X400" i="4"/>
  <c r="R400" i="4"/>
  <c r="Q400" i="4"/>
  <c r="J400" i="4"/>
  <c r="I400" i="4"/>
  <c r="Y399" i="4"/>
  <c r="X399" i="4"/>
  <c r="R399" i="4"/>
  <c r="Q399" i="4"/>
  <c r="J399" i="4"/>
  <c r="I399" i="4"/>
  <c r="Y398" i="4"/>
  <c r="X398" i="4"/>
  <c r="R398" i="4"/>
  <c r="Q398" i="4"/>
  <c r="J398" i="4"/>
  <c r="I398" i="4"/>
  <c r="Y397" i="4"/>
  <c r="X397" i="4"/>
  <c r="R397" i="4"/>
  <c r="Q397" i="4"/>
  <c r="J397" i="4"/>
  <c r="I397" i="4"/>
  <c r="Y396" i="4"/>
  <c r="X396" i="4"/>
  <c r="R396" i="4"/>
  <c r="Q396" i="4"/>
  <c r="J396" i="4"/>
  <c r="I396" i="4"/>
  <c r="Y395" i="4"/>
  <c r="X395" i="4"/>
  <c r="R395" i="4"/>
  <c r="Q395" i="4"/>
  <c r="J395" i="4"/>
  <c r="I395" i="4"/>
  <c r="Y394" i="4"/>
  <c r="X394" i="4"/>
  <c r="R394" i="4"/>
  <c r="Q394" i="4"/>
  <c r="J394" i="4"/>
  <c r="I394" i="4"/>
  <c r="Y393" i="4"/>
  <c r="X393" i="4"/>
  <c r="R393" i="4"/>
  <c r="Q393" i="4"/>
  <c r="J393" i="4"/>
  <c r="I393" i="4"/>
  <c r="Y392" i="4"/>
  <c r="X392" i="4"/>
  <c r="R392" i="4"/>
  <c r="Q392" i="4"/>
  <c r="J392" i="4"/>
  <c r="I392" i="4"/>
  <c r="Y391" i="4"/>
  <c r="X391" i="4"/>
  <c r="R391" i="4"/>
  <c r="Q391" i="4"/>
  <c r="J391" i="4"/>
  <c r="I391" i="4"/>
  <c r="Y390" i="4"/>
  <c r="X390" i="4"/>
  <c r="R390" i="4"/>
  <c r="W390" i="4" s="1"/>
  <c r="Q390" i="4"/>
  <c r="J390" i="4"/>
  <c r="I390" i="4"/>
  <c r="Y389" i="4"/>
  <c r="X389" i="4"/>
  <c r="R389" i="4"/>
  <c r="Q389" i="4"/>
  <c r="J389" i="4"/>
  <c r="I389" i="4"/>
  <c r="Y388" i="4"/>
  <c r="X388" i="4"/>
  <c r="R388" i="4"/>
  <c r="Q388" i="4"/>
  <c r="J388" i="4"/>
  <c r="I388" i="4"/>
  <c r="A388" i="4"/>
  <c r="Y387" i="4"/>
  <c r="X387" i="4"/>
  <c r="R387" i="4"/>
  <c r="Q387" i="4"/>
  <c r="J387" i="4"/>
  <c r="I387" i="4"/>
  <c r="Y386" i="4"/>
  <c r="X386" i="4"/>
  <c r="R386" i="4"/>
  <c r="Q386" i="4"/>
  <c r="J386" i="4"/>
  <c r="I386" i="4"/>
  <c r="Y385" i="4"/>
  <c r="X385" i="4"/>
  <c r="R385" i="4"/>
  <c r="Q385" i="4"/>
  <c r="J385" i="4"/>
  <c r="I385" i="4"/>
  <c r="Y384" i="4"/>
  <c r="X384" i="4"/>
  <c r="R384" i="4"/>
  <c r="Q384" i="4"/>
  <c r="J384" i="4"/>
  <c r="I384" i="4"/>
  <c r="Y383" i="4"/>
  <c r="X383" i="4"/>
  <c r="R383" i="4"/>
  <c r="Q383" i="4"/>
  <c r="J383" i="4"/>
  <c r="I383" i="4"/>
  <c r="Y382" i="4"/>
  <c r="X382" i="4"/>
  <c r="R382" i="4"/>
  <c r="Q382" i="4"/>
  <c r="V382" i="4" s="1"/>
  <c r="J382" i="4"/>
  <c r="I382" i="4"/>
  <c r="Y381" i="4"/>
  <c r="X381" i="4"/>
  <c r="R381" i="4"/>
  <c r="Q381" i="4"/>
  <c r="J381" i="4"/>
  <c r="I381" i="4"/>
  <c r="Y380" i="4"/>
  <c r="X380" i="4"/>
  <c r="R380" i="4"/>
  <c r="Q380" i="4"/>
  <c r="J380" i="4"/>
  <c r="I380" i="4"/>
  <c r="Y379" i="4"/>
  <c r="X379" i="4"/>
  <c r="R379" i="4"/>
  <c r="Q379" i="4"/>
  <c r="J379" i="4"/>
  <c r="I379" i="4"/>
  <c r="Y378" i="4"/>
  <c r="X378" i="4"/>
  <c r="R378" i="4"/>
  <c r="Q378" i="4"/>
  <c r="J378" i="4"/>
  <c r="I378" i="4"/>
  <c r="Y377" i="4"/>
  <c r="X377" i="4"/>
  <c r="R377" i="4"/>
  <c r="Q377" i="4"/>
  <c r="J377" i="4"/>
  <c r="I377" i="4"/>
  <c r="Y376" i="4"/>
  <c r="X376" i="4"/>
  <c r="R376" i="4"/>
  <c r="Q376" i="4"/>
  <c r="J376" i="4"/>
  <c r="I376" i="4"/>
  <c r="Y375" i="4"/>
  <c r="X375" i="4"/>
  <c r="R375" i="4"/>
  <c r="Q375" i="4"/>
  <c r="J375" i="4"/>
  <c r="I375" i="4"/>
  <c r="Y374" i="4"/>
  <c r="X374" i="4"/>
  <c r="R374" i="4"/>
  <c r="Q374" i="4"/>
  <c r="J374" i="4"/>
  <c r="I374" i="4"/>
  <c r="Y373" i="4"/>
  <c r="X373" i="4"/>
  <c r="R373" i="4"/>
  <c r="Q373" i="4"/>
  <c r="J373" i="4"/>
  <c r="I373" i="4"/>
  <c r="Y372" i="4"/>
  <c r="X372" i="4"/>
  <c r="R372" i="4"/>
  <c r="Q372" i="4"/>
  <c r="J372" i="4"/>
  <c r="I372" i="4"/>
  <c r="Y371" i="4"/>
  <c r="X371" i="4"/>
  <c r="R371" i="4"/>
  <c r="Q371" i="4"/>
  <c r="J371" i="4"/>
  <c r="I371" i="4"/>
  <c r="Y370" i="4"/>
  <c r="X370" i="4"/>
  <c r="R370" i="4"/>
  <c r="Q370" i="4"/>
  <c r="J370" i="4"/>
  <c r="I370" i="4"/>
  <c r="Y369" i="4"/>
  <c r="X369" i="4"/>
  <c r="R369" i="4"/>
  <c r="Q369" i="4"/>
  <c r="J369" i="4"/>
  <c r="I369" i="4"/>
  <c r="Y368" i="4"/>
  <c r="X368" i="4"/>
  <c r="R368" i="4"/>
  <c r="Q368" i="4"/>
  <c r="J368" i="4"/>
  <c r="I368" i="4"/>
  <c r="Y367" i="4"/>
  <c r="X367" i="4"/>
  <c r="R367" i="4"/>
  <c r="Q367" i="4"/>
  <c r="J367" i="4"/>
  <c r="I367" i="4"/>
  <c r="Y366" i="4"/>
  <c r="X366" i="4"/>
  <c r="R366" i="4"/>
  <c r="Q366" i="4"/>
  <c r="J366" i="4"/>
  <c r="I366" i="4"/>
  <c r="Y365" i="4"/>
  <c r="X365" i="4"/>
  <c r="R365" i="4"/>
  <c r="Q365" i="4"/>
  <c r="J365" i="4"/>
  <c r="I365" i="4"/>
  <c r="Y364" i="4"/>
  <c r="X364" i="4"/>
  <c r="R364" i="4"/>
  <c r="Q364" i="4"/>
  <c r="J364" i="4"/>
  <c r="I364" i="4"/>
  <c r="Y363" i="4"/>
  <c r="X363" i="4"/>
  <c r="R363" i="4"/>
  <c r="Q363" i="4"/>
  <c r="J363" i="4"/>
  <c r="I363" i="4"/>
  <c r="Y362" i="4"/>
  <c r="X362" i="4"/>
  <c r="R362" i="4"/>
  <c r="Q362" i="4"/>
  <c r="U362" i="4" s="1"/>
  <c r="J362" i="4"/>
  <c r="I362" i="4"/>
  <c r="Y361" i="4"/>
  <c r="X361" i="4"/>
  <c r="R361" i="4"/>
  <c r="Q361" i="4"/>
  <c r="J361" i="4"/>
  <c r="I361" i="4"/>
  <c r="Y360" i="4"/>
  <c r="X360" i="4"/>
  <c r="R360" i="4"/>
  <c r="Q360" i="4"/>
  <c r="A360" i="4" s="1"/>
  <c r="J360" i="4"/>
  <c r="I360" i="4"/>
  <c r="Y359" i="4"/>
  <c r="X359" i="4"/>
  <c r="R359" i="4"/>
  <c r="Q359" i="4"/>
  <c r="J359" i="4"/>
  <c r="I359" i="4"/>
  <c r="Y358" i="4"/>
  <c r="X358" i="4"/>
  <c r="R358" i="4"/>
  <c r="Q358" i="4"/>
  <c r="J358" i="4"/>
  <c r="I358" i="4"/>
  <c r="Y357" i="4"/>
  <c r="X357" i="4"/>
  <c r="R357" i="4"/>
  <c r="Q357" i="4"/>
  <c r="J357" i="4"/>
  <c r="I357" i="4"/>
  <c r="Y356" i="4"/>
  <c r="X356" i="4"/>
  <c r="R356" i="4"/>
  <c r="Q356" i="4"/>
  <c r="J356" i="4"/>
  <c r="I356" i="4"/>
  <c r="Y355" i="4"/>
  <c r="X355" i="4"/>
  <c r="R355" i="4"/>
  <c r="Q355" i="4"/>
  <c r="J355" i="4"/>
  <c r="I355" i="4"/>
  <c r="Y354" i="4"/>
  <c r="X354" i="4"/>
  <c r="R354" i="4"/>
  <c r="Q354" i="4"/>
  <c r="J354" i="4"/>
  <c r="I354" i="4"/>
  <c r="Y353" i="4"/>
  <c r="X353" i="4"/>
  <c r="R353" i="4"/>
  <c r="Q353" i="4"/>
  <c r="J353" i="4"/>
  <c r="I353" i="4"/>
  <c r="Y352" i="4"/>
  <c r="X352" i="4"/>
  <c r="R352" i="4"/>
  <c r="Q352" i="4"/>
  <c r="A352" i="4" s="1"/>
  <c r="J352" i="4"/>
  <c r="I352" i="4"/>
  <c r="Y351" i="4"/>
  <c r="X351" i="4"/>
  <c r="R351" i="4"/>
  <c r="Q351" i="4"/>
  <c r="J351" i="4"/>
  <c r="I351" i="4"/>
  <c r="Y350" i="4"/>
  <c r="X350" i="4"/>
  <c r="R350" i="4"/>
  <c r="Q350" i="4"/>
  <c r="U350" i="4" s="1"/>
  <c r="J350" i="4"/>
  <c r="I350" i="4"/>
  <c r="Y349" i="4"/>
  <c r="X349" i="4"/>
  <c r="R349" i="4"/>
  <c r="Q349" i="4"/>
  <c r="J349" i="4"/>
  <c r="I349" i="4"/>
  <c r="Y348" i="4"/>
  <c r="X348" i="4"/>
  <c r="R348" i="4"/>
  <c r="Q348" i="4"/>
  <c r="J348" i="4"/>
  <c r="I348" i="4"/>
  <c r="Y347" i="4"/>
  <c r="X347" i="4"/>
  <c r="R347" i="4"/>
  <c r="Q347" i="4"/>
  <c r="J347" i="4"/>
  <c r="I347" i="4"/>
  <c r="Y346" i="4"/>
  <c r="X346" i="4"/>
  <c r="R346" i="4"/>
  <c r="Q346" i="4"/>
  <c r="J346" i="4"/>
  <c r="I346" i="4"/>
  <c r="Y345" i="4"/>
  <c r="X345" i="4"/>
  <c r="R345" i="4"/>
  <c r="Q345" i="4"/>
  <c r="J345" i="4"/>
  <c r="I345" i="4"/>
  <c r="Y344" i="4"/>
  <c r="X344" i="4"/>
  <c r="R344" i="4"/>
  <c r="Q344" i="4"/>
  <c r="A344" i="4" s="1"/>
  <c r="J344" i="4"/>
  <c r="I344" i="4"/>
  <c r="Y343" i="4"/>
  <c r="X343" i="4"/>
  <c r="R343" i="4"/>
  <c r="Q343" i="4"/>
  <c r="J343" i="4"/>
  <c r="I343" i="4"/>
  <c r="Y342" i="4"/>
  <c r="X342" i="4"/>
  <c r="R342" i="4"/>
  <c r="Q342" i="4"/>
  <c r="J342" i="4"/>
  <c r="I342" i="4"/>
  <c r="Y341" i="4"/>
  <c r="X341" i="4"/>
  <c r="R341" i="4"/>
  <c r="Q341" i="4"/>
  <c r="J341" i="4"/>
  <c r="I341" i="4"/>
  <c r="Y340" i="4"/>
  <c r="X340" i="4"/>
  <c r="R340" i="4"/>
  <c r="Q340" i="4"/>
  <c r="S340" i="4" s="1"/>
  <c r="J340" i="4"/>
  <c r="I340" i="4"/>
  <c r="Y339" i="4"/>
  <c r="X339" i="4"/>
  <c r="R339" i="4"/>
  <c r="Q339" i="4"/>
  <c r="J339" i="4"/>
  <c r="I339" i="4"/>
  <c r="Y338" i="4"/>
  <c r="X338" i="4"/>
  <c r="R338" i="4"/>
  <c r="Q338" i="4"/>
  <c r="J338" i="4"/>
  <c r="I338" i="4"/>
  <c r="Y337" i="4"/>
  <c r="X337" i="4"/>
  <c r="R337" i="4"/>
  <c r="Q337" i="4"/>
  <c r="J337" i="4"/>
  <c r="I337" i="4"/>
  <c r="Y336" i="4"/>
  <c r="X336" i="4"/>
  <c r="AB336" i="4" s="1"/>
  <c r="R336" i="4"/>
  <c r="Q336" i="4"/>
  <c r="J336" i="4"/>
  <c r="I336" i="4"/>
  <c r="Y335" i="4"/>
  <c r="X335" i="4"/>
  <c r="R335" i="4"/>
  <c r="Q335" i="4"/>
  <c r="J335" i="4"/>
  <c r="I335" i="4"/>
  <c r="Y334" i="4"/>
  <c r="X334" i="4"/>
  <c r="R334" i="4"/>
  <c r="Q334" i="4"/>
  <c r="J334" i="4"/>
  <c r="I334" i="4"/>
  <c r="Y333" i="4"/>
  <c r="X333" i="4"/>
  <c r="R333" i="4"/>
  <c r="Q333" i="4"/>
  <c r="J333" i="4"/>
  <c r="I333" i="4"/>
  <c r="Y332" i="4"/>
  <c r="X332" i="4"/>
  <c r="AA332" i="4" s="1"/>
  <c r="R332" i="4"/>
  <c r="Q332" i="4"/>
  <c r="J332" i="4"/>
  <c r="I332" i="4"/>
  <c r="Y331" i="4"/>
  <c r="X331" i="4"/>
  <c r="R331" i="4"/>
  <c r="Q331" i="4"/>
  <c r="J331" i="4"/>
  <c r="I331" i="4"/>
  <c r="Y330" i="4"/>
  <c r="X330" i="4"/>
  <c r="R330" i="4"/>
  <c r="Q330" i="4"/>
  <c r="J330" i="4"/>
  <c r="I330" i="4"/>
  <c r="Y329" i="4"/>
  <c r="X329" i="4"/>
  <c r="R329" i="4"/>
  <c r="Q329" i="4"/>
  <c r="J329" i="4"/>
  <c r="I329" i="4"/>
  <c r="Y328" i="4"/>
  <c r="X328" i="4"/>
  <c r="R328" i="4"/>
  <c r="Q328" i="4"/>
  <c r="J328" i="4"/>
  <c r="I328" i="4"/>
  <c r="Y327" i="4"/>
  <c r="X327" i="4"/>
  <c r="R327" i="4"/>
  <c r="Q327" i="4"/>
  <c r="J327" i="4"/>
  <c r="I327" i="4"/>
  <c r="Y326" i="4"/>
  <c r="X326" i="4"/>
  <c r="R326" i="4"/>
  <c r="Q326" i="4"/>
  <c r="J326" i="4"/>
  <c r="I326" i="4"/>
  <c r="Y325" i="4"/>
  <c r="X325" i="4"/>
  <c r="R325" i="4"/>
  <c r="Q325" i="4"/>
  <c r="J325" i="4"/>
  <c r="I325" i="4"/>
  <c r="Y324" i="4"/>
  <c r="X324" i="4"/>
  <c r="R324" i="4"/>
  <c r="Q324" i="4"/>
  <c r="J324" i="4"/>
  <c r="I324" i="4"/>
  <c r="Y323" i="4"/>
  <c r="X323" i="4"/>
  <c r="R323" i="4"/>
  <c r="Q323" i="4"/>
  <c r="J323" i="4"/>
  <c r="I323" i="4"/>
  <c r="Y322" i="4"/>
  <c r="X322" i="4"/>
  <c r="R322" i="4"/>
  <c r="Q322" i="4"/>
  <c r="J322" i="4"/>
  <c r="I322" i="4"/>
  <c r="Y321" i="4"/>
  <c r="X321" i="4"/>
  <c r="R321" i="4"/>
  <c r="Q321" i="4"/>
  <c r="J321" i="4"/>
  <c r="I321" i="4"/>
  <c r="Y320" i="4"/>
  <c r="X320" i="4"/>
  <c r="R320" i="4"/>
  <c r="Q320" i="4"/>
  <c r="A320" i="4" s="1"/>
  <c r="J320" i="4"/>
  <c r="I320" i="4"/>
  <c r="Y319" i="4"/>
  <c r="X319" i="4"/>
  <c r="R319" i="4"/>
  <c r="Q319" i="4"/>
  <c r="J319" i="4"/>
  <c r="I319" i="4"/>
  <c r="Y318" i="4"/>
  <c r="X318" i="4"/>
  <c r="R318" i="4"/>
  <c r="Q318" i="4"/>
  <c r="J318" i="4"/>
  <c r="I318" i="4"/>
  <c r="Y317" i="4"/>
  <c r="X317" i="4"/>
  <c r="R317" i="4"/>
  <c r="Q317" i="4"/>
  <c r="J317" i="4"/>
  <c r="I317" i="4"/>
  <c r="Y316" i="4"/>
  <c r="X316" i="4"/>
  <c r="R316" i="4"/>
  <c r="Q316" i="4"/>
  <c r="J316" i="4"/>
  <c r="I316" i="4"/>
  <c r="Y315" i="4"/>
  <c r="X315" i="4"/>
  <c r="R315" i="4"/>
  <c r="Q315" i="4"/>
  <c r="J315" i="4"/>
  <c r="I315" i="4"/>
  <c r="Y314" i="4"/>
  <c r="X314" i="4"/>
  <c r="R314" i="4"/>
  <c r="Q314" i="4"/>
  <c r="J314" i="4"/>
  <c r="I314" i="4"/>
  <c r="Y313" i="4"/>
  <c r="X313" i="4"/>
  <c r="R313" i="4"/>
  <c r="Q313" i="4"/>
  <c r="J313" i="4"/>
  <c r="I313" i="4"/>
  <c r="Y312" i="4"/>
  <c r="X312" i="4"/>
  <c r="R312" i="4"/>
  <c r="Q312" i="4"/>
  <c r="J312" i="4"/>
  <c r="I312" i="4"/>
  <c r="Y311" i="4"/>
  <c r="X311" i="4"/>
  <c r="R311" i="4"/>
  <c r="Q311" i="4"/>
  <c r="J311" i="4"/>
  <c r="I311" i="4"/>
  <c r="Y310" i="4"/>
  <c r="X310" i="4"/>
  <c r="R310" i="4"/>
  <c r="Q310" i="4"/>
  <c r="J310" i="4"/>
  <c r="I310" i="4"/>
  <c r="Y309" i="4"/>
  <c r="X309" i="4"/>
  <c r="R309" i="4"/>
  <c r="Q309" i="4"/>
  <c r="J309" i="4"/>
  <c r="I309" i="4"/>
  <c r="Y308" i="4"/>
  <c r="X308" i="4"/>
  <c r="R308" i="4"/>
  <c r="Q308" i="4"/>
  <c r="J308" i="4"/>
  <c r="I308" i="4"/>
  <c r="Y307" i="4"/>
  <c r="X307" i="4"/>
  <c r="R307" i="4"/>
  <c r="Q307" i="4"/>
  <c r="J307" i="4"/>
  <c r="I307" i="4"/>
  <c r="Y306" i="4"/>
  <c r="X306" i="4"/>
  <c r="R306" i="4"/>
  <c r="Q306" i="4"/>
  <c r="J306" i="4"/>
  <c r="I306" i="4"/>
  <c r="Y305" i="4"/>
  <c r="X305" i="4"/>
  <c r="R305" i="4"/>
  <c r="Q305" i="4"/>
  <c r="J305" i="4"/>
  <c r="I305" i="4"/>
  <c r="Y304" i="4"/>
  <c r="X304" i="4"/>
  <c r="R304" i="4"/>
  <c r="Q304" i="4"/>
  <c r="J304" i="4"/>
  <c r="I304" i="4"/>
  <c r="Y303" i="4"/>
  <c r="X303" i="4"/>
  <c r="R303" i="4"/>
  <c r="Q303" i="4"/>
  <c r="J303" i="4"/>
  <c r="I303" i="4"/>
  <c r="Y302" i="4"/>
  <c r="X302" i="4"/>
  <c r="R302" i="4"/>
  <c r="Q302" i="4"/>
  <c r="J302" i="4"/>
  <c r="I302" i="4"/>
  <c r="Y301" i="4"/>
  <c r="X301" i="4"/>
  <c r="R301" i="4"/>
  <c r="Q301" i="4"/>
  <c r="J301" i="4"/>
  <c r="I301" i="4"/>
  <c r="Y300" i="4"/>
  <c r="X300" i="4"/>
  <c r="R300" i="4"/>
  <c r="Q300" i="4"/>
  <c r="J300" i="4"/>
  <c r="I300" i="4"/>
  <c r="Y299" i="4"/>
  <c r="X299" i="4"/>
  <c r="R299" i="4"/>
  <c r="Q299" i="4"/>
  <c r="J299" i="4"/>
  <c r="I299" i="4"/>
  <c r="Y298" i="4"/>
  <c r="X298" i="4"/>
  <c r="R298" i="4"/>
  <c r="Q298" i="4"/>
  <c r="J298" i="4"/>
  <c r="I298" i="4"/>
  <c r="Y297" i="4"/>
  <c r="X297" i="4"/>
  <c r="R297" i="4"/>
  <c r="Q297" i="4"/>
  <c r="J297" i="4"/>
  <c r="I297" i="4"/>
  <c r="Y296" i="4"/>
  <c r="X296" i="4"/>
  <c r="R296" i="4"/>
  <c r="Q296" i="4"/>
  <c r="J296" i="4"/>
  <c r="I296" i="4"/>
  <c r="Y295" i="4"/>
  <c r="X295" i="4"/>
  <c r="R295" i="4"/>
  <c r="Q295" i="4"/>
  <c r="J295" i="4"/>
  <c r="I295" i="4"/>
  <c r="Y294" i="4"/>
  <c r="X294" i="4"/>
  <c r="R294" i="4"/>
  <c r="Q294" i="4"/>
  <c r="J294" i="4"/>
  <c r="I294" i="4"/>
  <c r="Y293" i="4"/>
  <c r="X293" i="4"/>
  <c r="R293" i="4"/>
  <c r="Q293" i="4"/>
  <c r="J293" i="4"/>
  <c r="I293" i="4"/>
  <c r="Y292" i="4"/>
  <c r="X292" i="4"/>
  <c r="R292" i="4"/>
  <c r="Q292" i="4"/>
  <c r="J292" i="4"/>
  <c r="I292" i="4"/>
  <c r="Y291" i="4"/>
  <c r="X291" i="4"/>
  <c r="R291" i="4"/>
  <c r="Q291" i="4"/>
  <c r="J291" i="4"/>
  <c r="I291" i="4"/>
  <c r="Y290" i="4"/>
  <c r="X290" i="4"/>
  <c r="R290" i="4"/>
  <c r="Q290" i="4"/>
  <c r="J290" i="4"/>
  <c r="I290" i="4"/>
  <c r="Y289" i="4"/>
  <c r="X289" i="4"/>
  <c r="R289" i="4"/>
  <c r="Q289" i="4"/>
  <c r="J289" i="4"/>
  <c r="I289" i="4"/>
  <c r="Y288" i="4"/>
  <c r="X288" i="4"/>
  <c r="R288" i="4"/>
  <c r="Q288" i="4"/>
  <c r="J288" i="4"/>
  <c r="I288" i="4"/>
  <c r="Y287" i="4"/>
  <c r="X287" i="4"/>
  <c r="R287" i="4"/>
  <c r="Q287" i="4"/>
  <c r="J287" i="4"/>
  <c r="I287" i="4"/>
  <c r="Y286" i="4"/>
  <c r="X286" i="4"/>
  <c r="R286" i="4"/>
  <c r="Q286" i="4"/>
  <c r="J286" i="4"/>
  <c r="I286" i="4"/>
  <c r="Y285" i="4"/>
  <c r="X285" i="4"/>
  <c r="R285" i="4"/>
  <c r="Q285" i="4"/>
  <c r="J285" i="4"/>
  <c r="I285" i="4"/>
  <c r="Y284" i="4"/>
  <c r="X284" i="4"/>
  <c r="R284" i="4"/>
  <c r="Q284" i="4"/>
  <c r="J284" i="4"/>
  <c r="I284" i="4"/>
  <c r="Y283" i="4"/>
  <c r="X283" i="4"/>
  <c r="R283" i="4"/>
  <c r="Q283" i="4"/>
  <c r="J283" i="4"/>
  <c r="I283" i="4"/>
  <c r="Y282" i="4"/>
  <c r="X282" i="4"/>
  <c r="R282" i="4"/>
  <c r="Q282" i="4"/>
  <c r="J282" i="4"/>
  <c r="I282" i="4"/>
  <c r="Y281" i="4"/>
  <c r="X281" i="4"/>
  <c r="R281" i="4"/>
  <c r="Q281" i="4"/>
  <c r="J281" i="4"/>
  <c r="I281" i="4"/>
  <c r="Y280" i="4"/>
  <c r="X280" i="4"/>
  <c r="R280" i="4"/>
  <c r="Q280" i="4"/>
  <c r="J280" i="4"/>
  <c r="I280" i="4"/>
  <c r="Y279" i="4"/>
  <c r="X279" i="4"/>
  <c r="R279" i="4"/>
  <c r="Q279" i="4"/>
  <c r="J279" i="4"/>
  <c r="I279" i="4"/>
  <c r="Y278" i="4"/>
  <c r="X278" i="4"/>
  <c r="R278" i="4"/>
  <c r="Q278" i="4"/>
  <c r="J278" i="4"/>
  <c r="I278" i="4"/>
  <c r="Y277" i="4"/>
  <c r="X277" i="4"/>
  <c r="R277" i="4"/>
  <c r="Q277" i="4"/>
  <c r="J277" i="4"/>
  <c r="I277" i="4"/>
  <c r="Y276" i="4"/>
  <c r="X276" i="4"/>
  <c r="R276" i="4"/>
  <c r="Q276" i="4"/>
  <c r="J276" i="4"/>
  <c r="I276" i="4"/>
  <c r="Y275" i="4"/>
  <c r="X275" i="4"/>
  <c r="R275" i="4"/>
  <c r="Q275" i="4"/>
  <c r="J275" i="4"/>
  <c r="I275" i="4"/>
  <c r="Y274" i="4"/>
  <c r="X274" i="4"/>
  <c r="R274" i="4"/>
  <c r="Q274" i="4"/>
  <c r="J274" i="4"/>
  <c r="I274" i="4"/>
  <c r="Y273" i="4"/>
  <c r="X273" i="4"/>
  <c r="R273" i="4"/>
  <c r="Q273" i="4"/>
  <c r="J273" i="4"/>
  <c r="I273" i="4"/>
  <c r="Y272" i="4"/>
  <c r="X272" i="4"/>
  <c r="R272" i="4"/>
  <c r="Q272" i="4"/>
  <c r="J272" i="4"/>
  <c r="I272" i="4"/>
  <c r="Y271" i="4"/>
  <c r="X271" i="4"/>
  <c r="R271" i="4"/>
  <c r="Q271" i="4"/>
  <c r="J271" i="4"/>
  <c r="I271" i="4"/>
  <c r="Y270" i="4"/>
  <c r="X270" i="4"/>
  <c r="R270" i="4"/>
  <c r="Q270" i="4"/>
  <c r="J270" i="4"/>
  <c r="I270" i="4"/>
  <c r="Y269" i="4"/>
  <c r="X269" i="4"/>
  <c r="R269" i="4"/>
  <c r="Q269" i="4"/>
  <c r="J269" i="4"/>
  <c r="I269" i="4"/>
  <c r="Y268" i="4"/>
  <c r="X268" i="4"/>
  <c r="R268" i="4"/>
  <c r="Q268" i="4"/>
  <c r="J268" i="4"/>
  <c r="I268" i="4"/>
  <c r="Y267" i="4"/>
  <c r="X267" i="4"/>
  <c r="R267" i="4"/>
  <c r="Q267" i="4"/>
  <c r="J267" i="4"/>
  <c r="I267" i="4"/>
  <c r="Y266" i="4"/>
  <c r="X266" i="4"/>
  <c r="R266" i="4"/>
  <c r="Q266" i="4"/>
  <c r="J266" i="4"/>
  <c r="I266" i="4"/>
  <c r="Y265" i="4"/>
  <c r="X265" i="4"/>
  <c r="R265" i="4"/>
  <c r="Q265" i="4"/>
  <c r="J265" i="4"/>
  <c r="I265" i="4"/>
  <c r="Y264" i="4"/>
  <c r="X264" i="4"/>
  <c r="R264" i="4"/>
  <c r="Q264" i="4"/>
  <c r="J264" i="4"/>
  <c r="I264" i="4"/>
  <c r="Y263" i="4"/>
  <c r="X263" i="4"/>
  <c r="R263" i="4"/>
  <c r="Q263" i="4"/>
  <c r="J263" i="4"/>
  <c r="I263" i="4"/>
  <c r="Y262" i="4"/>
  <c r="X262" i="4"/>
  <c r="R262" i="4"/>
  <c r="Q262" i="4"/>
  <c r="J262" i="4"/>
  <c r="I262" i="4"/>
  <c r="Y261" i="4"/>
  <c r="X261" i="4"/>
  <c r="R261" i="4"/>
  <c r="Q261" i="4"/>
  <c r="J261" i="4"/>
  <c r="I261" i="4"/>
  <c r="Y260" i="4"/>
  <c r="X260" i="4"/>
  <c r="R260" i="4"/>
  <c r="Q260" i="4"/>
  <c r="J260" i="4"/>
  <c r="I260" i="4"/>
  <c r="Y259" i="4"/>
  <c r="X259" i="4"/>
  <c r="R259" i="4"/>
  <c r="Q259" i="4"/>
  <c r="J259" i="4"/>
  <c r="I259" i="4"/>
  <c r="Y258" i="4"/>
  <c r="X258" i="4"/>
  <c r="R258" i="4"/>
  <c r="Q258" i="4"/>
  <c r="J258" i="4"/>
  <c r="I258" i="4"/>
  <c r="Y257" i="4"/>
  <c r="X257" i="4"/>
  <c r="R257" i="4"/>
  <c r="Q257" i="4"/>
  <c r="J257" i="4"/>
  <c r="I257" i="4"/>
  <c r="Y256" i="4"/>
  <c r="X256" i="4"/>
  <c r="R256" i="4"/>
  <c r="Q256" i="4"/>
  <c r="J256" i="4"/>
  <c r="I256" i="4"/>
  <c r="Y255" i="4"/>
  <c r="X255" i="4"/>
  <c r="R255" i="4"/>
  <c r="Q255" i="4"/>
  <c r="J255" i="4"/>
  <c r="I255" i="4"/>
  <c r="Y254" i="4"/>
  <c r="X254" i="4"/>
  <c r="R254" i="4"/>
  <c r="Q254" i="4"/>
  <c r="J254" i="4"/>
  <c r="I254" i="4"/>
  <c r="Y253" i="4"/>
  <c r="X253" i="4"/>
  <c r="R253" i="4"/>
  <c r="Q253" i="4"/>
  <c r="J253" i="4"/>
  <c r="I253" i="4"/>
  <c r="Y252" i="4"/>
  <c r="X252" i="4"/>
  <c r="R252" i="4"/>
  <c r="Q252" i="4"/>
  <c r="J252" i="4"/>
  <c r="I252" i="4"/>
  <c r="Y251" i="4"/>
  <c r="X251" i="4"/>
  <c r="R251" i="4"/>
  <c r="Q251" i="4"/>
  <c r="J251" i="4"/>
  <c r="I251" i="4"/>
  <c r="Y250" i="4"/>
  <c r="X250" i="4"/>
  <c r="R250" i="4"/>
  <c r="Q250" i="4"/>
  <c r="J250" i="4"/>
  <c r="I250" i="4"/>
  <c r="Y249" i="4"/>
  <c r="X249" i="4"/>
  <c r="R249" i="4"/>
  <c r="Q249" i="4"/>
  <c r="J249" i="4"/>
  <c r="I249" i="4"/>
  <c r="Y248" i="4"/>
  <c r="X248" i="4"/>
  <c r="R248" i="4"/>
  <c r="Q248" i="4"/>
  <c r="J248" i="4"/>
  <c r="I248" i="4"/>
  <c r="Y247" i="4"/>
  <c r="X247" i="4"/>
  <c r="R247" i="4"/>
  <c r="Q247" i="4"/>
  <c r="J247" i="4"/>
  <c r="I247" i="4"/>
  <c r="Y246" i="4"/>
  <c r="X246" i="4"/>
  <c r="R246" i="4"/>
  <c r="Q246" i="4"/>
  <c r="J246" i="4"/>
  <c r="I246" i="4"/>
  <c r="Y245" i="4"/>
  <c r="X245" i="4"/>
  <c r="R245" i="4"/>
  <c r="Q245" i="4"/>
  <c r="J245" i="4"/>
  <c r="I245" i="4"/>
  <c r="Y244" i="4"/>
  <c r="X244" i="4"/>
  <c r="R244" i="4"/>
  <c r="Q244" i="4"/>
  <c r="J244" i="4"/>
  <c r="I244" i="4"/>
  <c r="Y243" i="4"/>
  <c r="X243" i="4"/>
  <c r="R243" i="4"/>
  <c r="Q243" i="4"/>
  <c r="J243" i="4"/>
  <c r="I243" i="4"/>
  <c r="Y242" i="4"/>
  <c r="X242" i="4"/>
  <c r="R242" i="4"/>
  <c r="Q242" i="4"/>
  <c r="J242" i="4"/>
  <c r="I242" i="4"/>
  <c r="Y241" i="4"/>
  <c r="X241" i="4"/>
  <c r="R241" i="4"/>
  <c r="Q241" i="4"/>
  <c r="J241" i="4"/>
  <c r="I241" i="4"/>
  <c r="Y240" i="4"/>
  <c r="X240" i="4"/>
  <c r="R240" i="4"/>
  <c r="Q240" i="4"/>
  <c r="A240" i="4" s="1"/>
  <c r="J240" i="4"/>
  <c r="I240" i="4"/>
  <c r="Y239" i="4"/>
  <c r="X239" i="4"/>
  <c r="R239" i="4"/>
  <c r="Q239" i="4"/>
  <c r="J239" i="4"/>
  <c r="I239" i="4"/>
  <c r="Y238" i="4"/>
  <c r="X238" i="4"/>
  <c r="R238" i="4"/>
  <c r="Q238" i="4"/>
  <c r="J238" i="4"/>
  <c r="I238" i="4"/>
  <c r="Y237" i="4"/>
  <c r="X237" i="4"/>
  <c r="R237" i="4"/>
  <c r="Q237" i="4"/>
  <c r="J237" i="4"/>
  <c r="I237" i="4"/>
  <c r="Y236" i="4"/>
  <c r="X236" i="4"/>
  <c r="R236" i="4"/>
  <c r="Q236" i="4"/>
  <c r="A236" i="4" s="1"/>
  <c r="J236" i="4"/>
  <c r="I236" i="4"/>
  <c r="Y235" i="4"/>
  <c r="X235" i="4"/>
  <c r="R235" i="4"/>
  <c r="Q235" i="4"/>
  <c r="J235" i="4"/>
  <c r="I235" i="4"/>
  <c r="Y234" i="4"/>
  <c r="X234" i="4"/>
  <c r="R234" i="4"/>
  <c r="Q234" i="4"/>
  <c r="J234" i="4"/>
  <c r="I234" i="4"/>
  <c r="Y233" i="4"/>
  <c r="X233" i="4"/>
  <c r="R233" i="4"/>
  <c r="Q233" i="4"/>
  <c r="J233" i="4"/>
  <c r="I233" i="4"/>
  <c r="Y232" i="4"/>
  <c r="X232" i="4"/>
  <c r="AB232" i="4" s="1"/>
  <c r="R232" i="4"/>
  <c r="Q232" i="4"/>
  <c r="J232" i="4"/>
  <c r="I232" i="4"/>
  <c r="Y231" i="4"/>
  <c r="X231" i="4"/>
  <c r="R231" i="4"/>
  <c r="Q231" i="4"/>
  <c r="J231" i="4"/>
  <c r="I231" i="4"/>
  <c r="Y230" i="4"/>
  <c r="X230" i="4"/>
  <c r="AD230" i="4" s="1"/>
  <c r="R230" i="4"/>
  <c r="Q230" i="4"/>
  <c r="J230" i="4"/>
  <c r="I230" i="4"/>
  <c r="Y229" i="4"/>
  <c r="X229" i="4"/>
  <c r="R229" i="4"/>
  <c r="Q229" i="4"/>
  <c r="J229" i="4"/>
  <c r="I229" i="4"/>
  <c r="Y228" i="4"/>
  <c r="X228" i="4"/>
  <c r="R228" i="4"/>
  <c r="Q228" i="4"/>
  <c r="J228" i="4"/>
  <c r="I228" i="4"/>
  <c r="Y227" i="4"/>
  <c r="X227" i="4"/>
  <c r="R227" i="4"/>
  <c r="Q227" i="4"/>
  <c r="J227" i="4"/>
  <c r="I227" i="4"/>
  <c r="Y226" i="4"/>
  <c r="X226" i="4"/>
  <c r="R226" i="4"/>
  <c r="Q226" i="4"/>
  <c r="V226" i="4" s="1"/>
  <c r="J226" i="4"/>
  <c r="I226" i="4"/>
  <c r="Y225" i="4"/>
  <c r="X225" i="4"/>
  <c r="R225" i="4"/>
  <c r="Q225" i="4"/>
  <c r="J225" i="4"/>
  <c r="I225" i="4"/>
  <c r="Y224" i="4"/>
  <c r="X224" i="4"/>
  <c r="R224" i="4"/>
  <c r="Q224" i="4"/>
  <c r="J224" i="4"/>
  <c r="I224" i="4"/>
  <c r="Y223" i="4"/>
  <c r="X223" i="4"/>
  <c r="R223" i="4"/>
  <c r="Q223" i="4"/>
  <c r="J223" i="4"/>
  <c r="I223" i="4"/>
  <c r="Y222" i="4"/>
  <c r="X222" i="4"/>
  <c r="R222" i="4"/>
  <c r="Q222" i="4"/>
  <c r="J222" i="4"/>
  <c r="I222" i="4"/>
  <c r="Y221" i="4"/>
  <c r="X221" i="4"/>
  <c r="R221" i="4"/>
  <c r="Q221" i="4"/>
  <c r="J221" i="4"/>
  <c r="I221" i="4"/>
  <c r="Y220" i="4"/>
  <c r="X220" i="4"/>
  <c r="R220" i="4"/>
  <c r="Q220" i="4"/>
  <c r="J220" i="4"/>
  <c r="I220" i="4"/>
  <c r="Y219" i="4"/>
  <c r="X219" i="4"/>
  <c r="R219" i="4"/>
  <c r="Q219" i="4"/>
  <c r="J219" i="4"/>
  <c r="I219" i="4"/>
  <c r="Y218" i="4"/>
  <c r="X218" i="4"/>
  <c r="R218" i="4"/>
  <c r="Q218" i="4"/>
  <c r="J218" i="4"/>
  <c r="I218" i="4"/>
  <c r="Y217" i="4"/>
  <c r="X217" i="4"/>
  <c r="R217" i="4"/>
  <c r="Q217" i="4"/>
  <c r="J217" i="4"/>
  <c r="I217" i="4"/>
  <c r="Y216" i="4"/>
  <c r="X216" i="4"/>
  <c r="R216" i="4"/>
  <c r="Q216" i="4"/>
  <c r="J216" i="4"/>
  <c r="I216" i="4"/>
  <c r="Y215" i="4"/>
  <c r="X215" i="4"/>
  <c r="R215" i="4"/>
  <c r="Q215" i="4"/>
  <c r="J215" i="4"/>
  <c r="I215" i="4"/>
  <c r="Y214" i="4"/>
  <c r="X214" i="4"/>
  <c r="R214" i="4"/>
  <c r="Q214" i="4"/>
  <c r="J214" i="4"/>
  <c r="I214" i="4"/>
  <c r="Y213" i="4"/>
  <c r="X213" i="4"/>
  <c r="R213" i="4"/>
  <c r="Q213" i="4"/>
  <c r="J213" i="4"/>
  <c r="I213" i="4"/>
  <c r="Y212" i="4"/>
  <c r="X212" i="4"/>
  <c r="R212" i="4"/>
  <c r="Q212" i="4"/>
  <c r="J212" i="4"/>
  <c r="I212" i="4"/>
  <c r="Y211" i="4"/>
  <c r="X211" i="4"/>
  <c r="R211" i="4"/>
  <c r="Q211" i="4"/>
  <c r="J211" i="4"/>
  <c r="I211" i="4"/>
  <c r="Y210" i="4"/>
  <c r="X210" i="4"/>
  <c r="R210" i="4"/>
  <c r="Q210" i="4"/>
  <c r="J210" i="4"/>
  <c r="I210" i="4"/>
  <c r="Y209" i="4"/>
  <c r="X209" i="4"/>
  <c r="R209" i="4"/>
  <c r="Q209" i="4"/>
  <c r="J209" i="4"/>
  <c r="I209" i="4"/>
  <c r="Y208" i="4"/>
  <c r="X208" i="4"/>
  <c r="R208" i="4"/>
  <c r="Q208" i="4"/>
  <c r="J208" i="4"/>
  <c r="I208" i="4"/>
  <c r="Y207" i="4"/>
  <c r="X207" i="4"/>
  <c r="R207" i="4"/>
  <c r="Q207" i="4"/>
  <c r="J207" i="4"/>
  <c r="I207" i="4"/>
  <c r="Y206" i="4"/>
  <c r="X206" i="4"/>
  <c r="R206" i="4"/>
  <c r="Q206" i="4"/>
  <c r="J206" i="4"/>
  <c r="I206" i="4"/>
  <c r="Y205" i="4"/>
  <c r="X205" i="4"/>
  <c r="R205" i="4"/>
  <c r="Q205" i="4"/>
  <c r="J205" i="4"/>
  <c r="I205" i="4"/>
  <c r="Y204" i="4"/>
  <c r="X204" i="4"/>
  <c r="R204" i="4"/>
  <c r="Q204" i="4"/>
  <c r="J204" i="4"/>
  <c r="I204" i="4"/>
  <c r="Y203" i="4"/>
  <c r="X203" i="4"/>
  <c r="R203" i="4"/>
  <c r="Q203" i="4"/>
  <c r="J203" i="4"/>
  <c r="I203" i="4"/>
  <c r="Y202" i="4"/>
  <c r="X202" i="4"/>
  <c r="R202" i="4"/>
  <c r="Q202" i="4"/>
  <c r="J202" i="4"/>
  <c r="I202" i="4"/>
  <c r="Y201" i="4"/>
  <c r="X201" i="4"/>
  <c r="R201" i="4"/>
  <c r="Q201" i="4"/>
  <c r="J201" i="4"/>
  <c r="I201" i="4"/>
  <c r="Y200" i="4"/>
  <c r="X200" i="4"/>
  <c r="R200" i="4"/>
  <c r="Q200" i="4"/>
  <c r="J200" i="4"/>
  <c r="I200" i="4"/>
  <c r="Y199" i="4"/>
  <c r="X199" i="4"/>
  <c r="R199" i="4"/>
  <c r="Q199" i="4"/>
  <c r="J199" i="4"/>
  <c r="I199" i="4"/>
  <c r="Y198" i="4"/>
  <c r="X198" i="4"/>
  <c r="R198" i="4"/>
  <c r="Q198" i="4"/>
  <c r="T198" i="4" s="1"/>
  <c r="J198" i="4"/>
  <c r="I198" i="4"/>
  <c r="Y197" i="4"/>
  <c r="X197" i="4"/>
  <c r="R197" i="4"/>
  <c r="Q197" i="4"/>
  <c r="J197" i="4"/>
  <c r="I197" i="4"/>
  <c r="Y196" i="4"/>
  <c r="X196" i="4"/>
  <c r="R196" i="4"/>
  <c r="Q196" i="4"/>
  <c r="J196" i="4"/>
  <c r="I196" i="4"/>
  <c r="Y195" i="4"/>
  <c r="X195" i="4"/>
  <c r="R195" i="4"/>
  <c r="Q195" i="4"/>
  <c r="J195" i="4"/>
  <c r="I195" i="4"/>
  <c r="Y194" i="4"/>
  <c r="X194" i="4"/>
  <c r="R194" i="4"/>
  <c r="Q194" i="4"/>
  <c r="A194" i="4" s="1"/>
  <c r="J194" i="4"/>
  <c r="I194" i="4"/>
  <c r="Y193" i="4"/>
  <c r="X193" i="4"/>
  <c r="R193" i="4"/>
  <c r="Q193" i="4"/>
  <c r="J193" i="4"/>
  <c r="I193" i="4"/>
  <c r="Y192" i="4"/>
  <c r="X192" i="4"/>
  <c r="R192" i="4"/>
  <c r="Q192" i="4"/>
  <c r="J192" i="4"/>
  <c r="I192" i="4"/>
  <c r="Y191" i="4"/>
  <c r="X191" i="4"/>
  <c r="R191" i="4"/>
  <c r="Q191" i="4"/>
  <c r="J191" i="4"/>
  <c r="I191" i="4"/>
  <c r="Y190" i="4"/>
  <c r="X190" i="4"/>
  <c r="R190" i="4"/>
  <c r="Q190" i="4"/>
  <c r="J190" i="4"/>
  <c r="I190" i="4"/>
  <c r="Y189" i="4"/>
  <c r="X189" i="4"/>
  <c r="R189" i="4"/>
  <c r="Q189" i="4"/>
  <c r="J189" i="4"/>
  <c r="I189" i="4"/>
  <c r="Y188" i="4"/>
  <c r="X188" i="4"/>
  <c r="R188" i="4"/>
  <c r="Q188" i="4"/>
  <c r="J188" i="4"/>
  <c r="I188" i="4"/>
  <c r="Y187" i="4"/>
  <c r="X187" i="4"/>
  <c r="R187" i="4"/>
  <c r="Q187" i="4"/>
  <c r="J187" i="4"/>
  <c r="I187" i="4"/>
  <c r="Y186" i="4"/>
  <c r="X186" i="4"/>
  <c r="R186" i="4"/>
  <c r="Q186" i="4"/>
  <c r="J186" i="4"/>
  <c r="I186" i="4"/>
  <c r="Y185" i="4"/>
  <c r="X185" i="4"/>
  <c r="R185" i="4"/>
  <c r="Q185" i="4"/>
  <c r="J185" i="4"/>
  <c r="I185" i="4"/>
  <c r="Y184" i="4"/>
  <c r="X184" i="4"/>
  <c r="R184" i="4"/>
  <c r="Q184" i="4"/>
  <c r="J184" i="4"/>
  <c r="I184" i="4"/>
  <c r="Y183" i="4"/>
  <c r="X183" i="4"/>
  <c r="R183" i="4"/>
  <c r="Q183" i="4"/>
  <c r="J183" i="4"/>
  <c r="I183" i="4"/>
  <c r="Y182" i="4"/>
  <c r="X182" i="4"/>
  <c r="R182" i="4"/>
  <c r="Q182" i="4"/>
  <c r="J182" i="4"/>
  <c r="I182" i="4"/>
  <c r="Y181" i="4"/>
  <c r="X181" i="4"/>
  <c r="R181" i="4"/>
  <c r="Q181" i="4"/>
  <c r="J181" i="4"/>
  <c r="I181" i="4"/>
  <c r="Y180" i="4"/>
  <c r="X180" i="4"/>
  <c r="R180" i="4"/>
  <c r="Q180" i="4"/>
  <c r="J180" i="4"/>
  <c r="I180" i="4"/>
  <c r="Y179" i="4"/>
  <c r="X179" i="4"/>
  <c r="R179" i="4"/>
  <c r="Q179" i="4"/>
  <c r="J179" i="4"/>
  <c r="I179" i="4"/>
  <c r="Y178" i="4"/>
  <c r="X178" i="4"/>
  <c r="R178" i="4"/>
  <c r="Q178" i="4"/>
  <c r="J178" i="4"/>
  <c r="I178" i="4"/>
  <c r="Y177" i="4"/>
  <c r="X177" i="4"/>
  <c r="R177" i="4"/>
  <c r="Q177" i="4"/>
  <c r="J177" i="4"/>
  <c r="I177" i="4"/>
  <c r="Y176" i="4"/>
  <c r="X176" i="4"/>
  <c r="R176" i="4"/>
  <c r="Q176" i="4"/>
  <c r="J176" i="4"/>
  <c r="I176" i="4"/>
  <c r="Y175" i="4"/>
  <c r="X175" i="4"/>
  <c r="R175" i="4"/>
  <c r="Q175" i="4"/>
  <c r="J175" i="4"/>
  <c r="I175" i="4"/>
  <c r="Y174" i="4"/>
  <c r="X174" i="4"/>
  <c r="R174" i="4"/>
  <c r="Q174" i="4"/>
  <c r="J174" i="4"/>
  <c r="I174" i="4"/>
  <c r="Y173" i="4"/>
  <c r="X173" i="4"/>
  <c r="R173" i="4"/>
  <c r="Q173" i="4"/>
  <c r="J173" i="4"/>
  <c r="I173" i="4"/>
  <c r="Y172" i="4"/>
  <c r="X172" i="4"/>
  <c r="R172" i="4"/>
  <c r="Q172" i="4"/>
  <c r="J172" i="4"/>
  <c r="I172" i="4"/>
  <c r="Y171" i="4"/>
  <c r="X171" i="4"/>
  <c r="R171" i="4"/>
  <c r="Q171" i="4"/>
  <c r="J171" i="4"/>
  <c r="I171" i="4"/>
  <c r="Y170" i="4"/>
  <c r="X170" i="4"/>
  <c r="R170" i="4"/>
  <c r="Q170" i="4"/>
  <c r="J170" i="4"/>
  <c r="I170" i="4"/>
  <c r="Y169" i="4"/>
  <c r="X169" i="4"/>
  <c r="R169" i="4"/>
  <c r="Q169" i="4"/>
  <c r="J169" i="4"/>
  <c r="I169" i="4"/>
  <c r="Y168" i="4"/>
  <c r="X168" i="4"/>
  <c r="R168" i="4"/>
  <c r="Q168" i="4"/>
  <c r="J168" i="4"/>
  <c r="I168" i="4"/>
  <c r="Y167" i="4"/>
  <c r="X167" i="4"/>
  <c r="R167" i="4"/>
  <c r="Q167" i="4"/>
  <c r="J167" i="4"/>
  <c r="I167" i="4"/>
  <c r="Y166" i="4"/>
  <c r="X166" i="4"/>
  <c r="R166" i="4"/>
  <c r="Q166" i="4"/>
  <c r="J166" i="4"/>
  <c r="I166" i="4"/>
  <c r="Y165" i="4"/>
  <c r="X165" i="4"/>
  <c r="R165" i="4"/>
  <c r="Q165" i="4"/>
  <c r="J165" i="4"/>
  <c r="I165" i="4"/>
  <c r="Y164" i="4"/>
  <c r="X164" i="4"/>
  <c r="R164" i="4"/>
  <c r="Q164" i="4"/>
  <c r="J164" i="4"/>
  <c r="I164" i="4"/>
  <c r="Y163" i="4"/>
  <c r="X163" i="4"/>
  <c r="R163" i="4"/>
  <c r="Q163" i="4"/>
  <c r="J163" i="4"/>
  <c r="I163" i="4"/>
  <c r="Y162" i="4"/>
  <c r="X162" i="4"/>
  <c r="R162" i="4"/>
  <c r="Q162" i="4"/>
  <c r="J162" i="4"/>
  <c r="I162" i="4"/>
  <c r="Y161" i="4"/>
  <c r="X161" i="4"/>
  <c r="R161" i="4"/>
  <c r="Q161" i="4"/>
  <c r="J161" i="4"/>
  <c r="I161" i="4"/>
  <c r="Y160" i="4"/>
  <c r="X160" i="4"/>
  <c r="R160" i="4"/>
  <c r="Q160" i="4"/>
  <c r="J160" i="4"/>
  <c r="I160" i="4"/>
  <c r="Y159" i="4"/>
  <c r="X159" i="4"/>
  <c r="R159" i="4"/>
  <c r="Q159" i="4"/>
  <c r="J159" i="4"/>
  <c r="I159" i="4"/>
  <c r="Y158" i="4"/>
  <c r="X158" i="4"/>
  <c r="R158" i="4"/>
  <c r="Q158" i="4"/>
  <c r="J158" i="4"/>
  <c r="I158" i="4"/>
  <c r="Y157" i="4"/>
  <c r="X157" i="4"/>
  <c r="R157" i="4"/>
  <c r="Q157" i="4"/>
  <c r="J157" i="4"/>
  <c r="I157" i="4"/>
  <c r="Y156" i="4"/>
  <c r="X156" i="4"/>
  <c r="R156" i="4"/>
  <c r="Q156" i="4"/>
  <c r="J156" i="4"/>
  <c r="I156" i="4"/>
  <c r="Y155" i="4"/>
  <c r="X155" i="4"/>
  <c r="R155" i="4"/>
  <c r="Q155" i="4"/>
  <c r="J155" i="4"/>
  <c r="I155" i="4"/>
  <c r="Y154" i="4"/>
  <c r="X154" i="4"/>
  <c r="R154" i="4"/>
  <c r="Q154" i="4"/>
  <c r="J154" i="4"/>
  <c r="I154" i="4"/>
  <c r="Y153" i="4"/>
  <c r="X153" i="4"/>
  <c r="R153" i="4"/>
  <c r="Q153" i="4"/>
  <c r="J153" i="4"/>
  <c r="I153" i="4"/>
  <c r="Y152" i="4"/>
  <c r="X152" i="4"/>
  <c r="R152" i="4"/>
  <c r="Q152" i="4"/>
  <c r="J152" i="4"/>
  <c r="I152" i="4"/>
  <c r="Y151" i="4"/>
  <c r="X151" i="4"/>
  <c r="R151" i="4"/>
  <c r="Q151" i="4"/>
  <c r="J151" i="4"/>
  <c r="I151" i="4"/>
  <c r="Y150" i="4"/>
  <c r="X150" i="4"/>
  <c r="R150" i="4"/>
  <c r="Q150" i="4"/>
  <c r="J150" i="4"/>
  <c r="I150" i="4"/>
  <c r="Y149" i="4"/>
  <c r="X149" i="4"/>
  <c r="R149" i="4"/>
  <c r="Q149" i="4"/>
  <c r="J149" i="4"/>
  <c r="I149" i="4"/>
  <c r="Y148" i="4"/>
  <c r="X148" i="4"/>
  <c r="R148" i="4"/>
  <c r="Q148" i="4"/>
  <c r="J148" i="4"/>
  <c r="I148" i="4"/>
  <c r="Y147" i="4"/>
  <c r="X147" i="4"/>
  <c r="R147" i="4"/>
  <c r="Q147" i="4"/>
  <c r="J147" i="4"/>
  <c r="I147" i="4"/>
  <c r="Y146" i="4"/>
  <c r="X146" i="4"/>
  <c r="R146" i="4"/>
  <c r="Q146" i="4"/>
  <c r="J146" i="4"/>
  <c r="I146" i="4"/>
  <c r="Y145" i="4"/>
  <c r="X145" i="4"/>
  <c r="R145" i="4"/>
  <c r="Q145" i="4"/>
  <c r="J145" i="4"/>
  <c r="I145" i="4"/>
  <c r="Y144" i="4"/>
  <c r="X144" i="4"/>
  <c r="R144" i="4"/>
  <c r="Q144" i="4"/>
  <c r="J144" i="4"/>
  <c r="I144" i="4"/>
  <c r="Y143" i="4"/>
  <c r="X143" i="4"/>
  <c r="R143" i="4"/>
  <c r="Q143" i="4"/>
  <c r="J143" i="4"/>
  <c r="I143" i="4"/>
  <c r="Y142" i="4"/>
  <c r="X142" i="4"/>
  <c r="R142" i="4"/>
  <c r="Q142" i="4"/>
  <c r="J142" i="4"/>
  <c r="I142" i="4"/>
  <c r="Y141" i="4"/>
  <c r="X141" i="4"/>
  <c r="R141" i="4"/>
  <c r="Q141" i="4"/>
  <c r="J141" i="4"/>
  <c r="I141" i="4"/>
  <c r="Y140" i="4"/>
  <c r="X140" i="4"/>
  <c r="R140" i="4"/>
  <c r="Q140" i="4"/>
  <c r="J140" i="4"/>
  <c r="I140" i="4"/>
  <c r="Y139" i="4"/>
  <c r="X139" i="4"/>
  <c r="R139" i="4"/>
  <c r="Q139" i="4"/>
  <c r="J139" i="4"/>
  <c r="I139" i="4"/>
  <c r="Y138" i="4"/>
  <c r="X138" i="4"/>
  <c r="R138" i="4"/>
  <c r="Q138" i="4"/>
  <c r="J138" i="4"/>
  <c r="I138" i="4"/>
  <c r="Y137" i="4"/>
  <c r="X137" i="4"/>
  <c r="R137" i="4"/>
  <c r="Q137" i="4"/>
  <c r="J137" i="4"/>
  <c r="I137" i="4"/>
  <c r="Y136" i="4"/>
  <c r="X136" i="4"/>
  <c r="R136" i="4"/>
  <c r="Q136" i="4"/>
  <c r="J136" i="4"/>
  <c r="I136" i="4"/>
  <c r="Y135" i="4"/>
  <c r="X135" i="4"/>
  <c r="R135" i="4"/>
  <c r="Q135" i="4"/>
  <c r="T135" i="4" s="1"/>
  <c r="J135" i="4"/>
  <c r="I135" i="4"/>
  <c r="Y134" i="4"/>
  <c r="X134" i="4"/>
  <c r="R134" i="4"/>
  <c r="Q134" i="4"/>
  <c r="J134" i="4"/>
  <c r="I134" i="4"/>
  <c r="Y133" i="4"/>
  <c r="X133" i="4"/>
  <c r="R133" i="4"/>
  <c r="Q133" i="4"/>
  <c r="J133" i="4"/>
  <c r="I133" i="4"/>
  <c r="Y132" i="4"/>
  <c r="X132" i="4"/>
  <c r="R132" i="4"/>
  <c r="Q132" i="4"/>
  <c r="J132" i="4"/>
  <c r="I132" i="4"/>
  <c r="Y131" i="4"/>
  <c r="X131" i="4"/>
  <c r="R131" i="4"/>
  <c r="Q131" i="4"/>
  <c r="J131" i="4"/>
  <c r="I131" i="4"/>
  <c r="Y130" i="4"/>
  <c r="X130" i="4"/>
  <c r="R130" i="4"/>
  <c r="Q130" i="4"/>
  <c r="J130" i="4"/>
  <c r="I130" i="4"/>
  <c r="Y129" i="4"/>
  <c r="X129" i="4"/>
  <c r="R129" i="4"/>
  <c r="Q129" i="4"/>
  <c r="J129" i="4"/>
  <c r="I129" i="4"/>
  <c r="Y128" i="4"/>
  <c r="X128" i="4"/>
  <c r="R128" i="4"/>
  <c r="Q128" i="4"/>
  <c r="J128" i="4"/>
  <c r="I128" i="4"/>
  <c r="Y127" i="4"/>
  <c r="X127" i="4"/>
  <c r="R127" i="4"/>
  <c r="Q127" i="4"/>
  <c r="J127" i="4"/>
  <c r="I127" i="4"/>
  <c r="Y126" i="4"/>
  <c r="X126" i="4"/>
  <c r="R126" i="4"/>
  <c r="Q126" i="4"/>
  <c r="J126" i="4"/>
  <c r="I126" i="4"/>
  <c r="Y125" i="4"/>
  <c r="X125" i="4"/>
  <c r="R125" i="4"/>
  <c r="Q125" i="4"/>
  <c r="J125" i="4"/>
  <c r="I125" i="4"/>
  <c r="Y124" i="4"/>
  <c r="X124" i="4"/>
  <c r="R124" i="4"/>
  <c r="Q124" i="4"/>
  <c r="J124" i="4"/>
  <c r="I124" i="4"/>
  <c r="Y123" i="4"/>
  <c r="X123" i="4"/>
  <c r="R123" i="4"/>
  <c r="Q123" i="4"/>
  <c r="J123" i="4"/>
  <c r="I123" i="4"/>
  <c r="Y122" i="4"/>
  <c r="X122" i="4"/>
  <c r="R122" i="4"/>
  <c r="Q122" i="4"/>
  <c r="J122" i="4"/>
  <c r="I122" i="4"/>
  <c r="Y121" i="4"/>
  <c r="X121" i="4"/>
  <c r="R121" i="4"/>
  <c r="Q121" i="4"/>
  <c r="J121" i="4"/>
  <c r="I121" i="4"/>
  <c r="Y120" i="4"/>
  <c r="X120" i="4"/>
  <c r="R120" i="4"/>
  <c r="Q120" i="4"/>
  <c r="J120" i="4"/>
  <c r="I120" i="4"/>
  <c r="Y119" i="4"/>
  <c r="X119" i="4"/>
  <c r="R119" i="4"/>
  <c r="Q119" i="4"/>
  <c r="J119" i="4"/>
  <c r="I119" i="4"/>
  <c r="Y118" i="4"/>
  <c r="X118" i="4"/>
  <c r="R118" i="4"/>
  <c r="Q118" i="4"/>
  <c r="J118" i="4"/>
  <c r="I118" i="4"/>
  <c r="Y117" i="4"/>
  <c r="X117" i="4"/>
  <c r="R117" i="4"/>
  <c r="Q117" i="4"/>
  <c r="J117" i="4"/>
  <c r="I117" i="4"/>
  <c r="Y116" i="4"/>
  <c r="X116" i="4"/>
  <c r="R116" i="4"/>
  <c r="Q116" i="4"/>
  <c r="J116" i="4"/>
  <c r="I116" i="4"/>
  <c r="Y115" i="4"/>
  <c r="X115" i="4"/>
  <c r="R115" i="4"/>
  <c r="Q115" i="4"/>
  <c r="J115" i="4"/>
  <c r="I115" i="4"/>
  <c r="Y114" i="4"/>
  <c r="X114" i="4"/>
  <c r="R114" i="4"/>
  <c r="Q114" i="4"/>
  <c r="J114" i="4"/>
  <c r="I114" i="4"/>
  <c r="Y113" i="4"/>
  <c r="X113" i="4"/>
  <c r="R113" i="4"/>
  <c r="Q113" i="4"/>
  <c r="J113" i="4"/>
  <c r="I113" i="4"/>
  <c r="Y112" i="4"/>
  <c r="X112" i="4"/>
  <c r="R112" i="4"/>
  <c r="Q112" i="4"/>
  <c r="J112" i="4"/>
  <c r="I112" i="4"/>
  <c r="Y111" i="4"/>
  <c r="X111" i="4"/>
  <c r="R111" i="4"/>
  <c r="Q111" i="4"/>
  <c r="J111" i="4"/>
  <c r="I111" i="4"/>
  <c r="Y110" i="4"/>
  <c r="X110" i="4"/>
  <c r="R110" i="4"/>
  <c r="Q110" i="4"/>
  <c r="J110" i="4"/>
  <c r="I110" i="4"/>
  <c r="Y109" i="4"/>
  <c r="X109" i="4"/>
  <c r="R109" i="4"/>
  <c r="Q109" i="4"/>
  <c r="J109" i="4"/>
  <c r="I109" i="4"/>
  <c r="Y108" i="4"/>
  <c r="X108" i="4"/>
  <c r="R108" i="4"/>
  <c r="Q108" i="4"/>
  <c r="J108" i="4"/>
  <c r="I108" i="4"/>
  <c r="Y107" i="4"/>
  <c r="X107" i="4"/>
  <c r="R107" i="4"/>
  <c r="Q107" i="4"/>
  <c r="J107" i="4"/>
  <c r="I107" i="4"/>
  <c r="Y106" i="4"/>
  <c r="X106" i="4"/>
  <c r="R106" i="4"/>
  <c r="Q106" i="4"/>
  <c r="J106" i="4"/>
  <c r="I106" i="4"/>
  <c r="Y105" i="4"/>
  <c r="X105" i="4"/>
  <c r="R105" i="4"/>
  <c r="Q105" i="4"/>
  <c r="J105" i="4"/>
  <c r="I105" i="4"/>
  <c r="Y104" i="4"/>
  <c r="X104" i="4"/>
  <c r="R104" i="4"/>
  <c r="Q104" i="4"/>
  <c r="J104" i="4"/>
  <c r="I104" i="4"/>
  <c r="Y103" i="4"/>
  <c r="X103" i="4"/>
  <c r="R103" i="4"/>
  <c r="Q103" i="4"/>
  <c r="J103" i="4"/>
  <c r="I103" i="4"/>
  <c r="Y102" i="4"/>
  <c r="X102" i="4"/>
  <c r="R102" i="4"/>
  <c r="Q102" i="4"/>
  <c r="J102" i="4"/>
  <c r="I102" i="4"/>
  <c r="Y101" i="4"/>
  <c r="X101" i="4"/>
  <c r="R101" i="4"/>
  <c r="Q101" i="4"/>
  <c r="J101" i="4"/>
  <c r="I101" i="4"/>
  <c r="Y100" i="4"/>
  <c r="X100" i="4"/>
  <c r="R100" i="4"/>
  <c r="Q100" i="4"/>
  <c r="J100" i="4"/>
  <c r="I100" i="4"/>
  <c r="Y99" i="4"/>
  <c r="X99" i="4"/>
  <c r="R99" i="4"/>
  <c r="Q99" i="4"/>
  <c r="J99" i="4"/>
  <c r="I99" i="4"/>
  <c r="Y98" i="4"/>
  <c r="X98" i="4"/>
  <c r="R98" i="4"/>
  <c r="Q98" i="4"/>
  <c r="J98" i="4"/>
  <c r="I98" i="4"/>
  <c r="Y97" i="4"/>
  <c r="X97" i="4"/>
  <c r="R97" i="4"/>
  <c r="Q97" i="4"/>
  <c r="J97" i="4"/>
  <c r="I97" i="4"/>
  <c r="Y96" i="4"/>
  <c r="X96" i="4"/>
  <c r="R96" i="4"/>
  <c r="Q96" i="4"/>
  <c r="J96" i="4"/>
  <c r="I96" i="4"/>
  <c r="Y95" i="4"/>
  <c r="X95" i="4"/>
  <c r="R95" i="4"/>
  <c r="Q95" i="4"/>
  <c r="J95" i="4"/>
  <c r="I95" i="4"/>
  <c r="Y94" i="4"/>
  <c r="X94" i="4"/>
  <c r="R94" i="4"/>
  <c r="Q94" i="4"/>
  <c r="J94" i="4"/>
  <c r="I94" i="4"/>
  <c r="Y93" i="4"/>
  <c r="X93" i="4"/>
  <c r="R93" i="4"/>
  <c r="Q93" i="4"/>
  <c r="J93" i="4"/>
  <c r="I93" i="4"/>
  <c r="Y92" i="4"/>
  <c r="X92" i="4"/>
  <c r="R92" i="4"/>
  <c r="Q92" i="4"/>
  <c r="J92" i="4"/>
  <c r="I92" i="4"/>
  <c r="Y91" i="4"/>
  <c r="X91" i="4"/>
  <c r="R91" i="4"/>
  <c r="Q91" i="4"/>
  <c r="J91" i="4"/>
  <c r="I91" i="4"/>
  <c r="Y90" i="4"/>
  <c r="X90" i="4"/>
  <c r="R90" i="4"/>
  <c r="Q90" i="4"/>
  <c r="J90" i="4"/>
  <c r="I90" i="4"/>
  <c r="Y89" i="4"/>
  <c r="X89" i="4"/>
  <c r="R89" i="4"/>
  <c r="Q89" i="4"/>
  <c r="J89" i="4"/>
  <c r="I89" i="4"/>
  <c r="Y88" i="4"/>
  <c r="X88" i="4"/>
  <c r="R88" i="4"/>
  <c r="Q88" i="4"/>
  <c r="J88" i="4"/>
  <c r="I88" i="4"/>
  <c r="Y87" i="4"/>
  <c r="X87" i="4"/>
  <c r="R87" i="4"/>
  <c r="Q87" i="4"/>
  <c r="J87" i="4"/>
  <c r="I87" i="4"/>
  <c r="Y86" i="4"/>
  <c r="X86" i="4"/>
  <c r="R86" i="4"/>
  <c r="Q86" i="4"/>
  <c r="J86" i="4"/>
  <c r="I86" i="4"/>
  <c r="Y85" i="4"/>
  <c r="X85" i="4"/>
  <c r="R85" i="4"/>
  <c r="Q85" i="4"/>
  <c r="J85" i="4"/>
  <c r="I85" i="4"/>
  <c r="Y84" i="4"/>
  <c r="X84" i="4"/>
  <c r="R84" i="4"/>
  <c r="Q84" i="4"/>
  <c r="J84" i="4"/>
  <c r="I84" i="4"/>
  <c r="Y83" i="4"/>
  <c r="X83" i="4"/>
  <c r="R83" i="4"/>
  <c r="Q83" i="4"/>
  <c r="J83" i="4"/>
  <c r="I83" i="4"/>
  <c r="Y82" i="4"/>
  <c r="X82" i="4"/>
  <c r="R82" i="4"/>
  <c r="Q82" i="4"/>
  <c r="J82" i="4"/>
  <c r="I82" i="4"/>
  <c r="Y81" i="4"/>
  <c r="X81" i="4"/>
  <c r="R81" i="4"/>
  <c r="Q81" i="4"/>
  <c r="J81" i="4"/>
  <c r="I81" i="4"/>
  <c r="Y80" i="4"/>
  <c r="X80" i="4"/>
  <c r="R80" i="4"/>
  <c r="Q80" i="4"/>
  <c r="J80" i="4"/>
  <c r="I80" i="4"/>
  <c r="Y79" i="4"/>
  <c r="X79" i="4"/>
  <c r="R79" i="4"/>
  <c r="Q79" i="4"/>
  <c r="J79" i="4"/>
  <c r="I79" i="4"/>
  <c r="Y78" i="4"/>
  <c r="X78" i="4"/>
  <c r="R78" i="4"/>
  <c r="Q78" i="4"/>
  <c r="J78" i="4"/>
  <c r="I78" i="4"/>
  <c r="Y77" i="4"/>
  <c r="X77" i="4"/>
  <c r="R77" i="4"/>
  <c r="Q77" i="4"/>
  <c r="J77" i="4"/>
  <c r="I77" i="4"/>
  <c r="Y76" i="4"/>
  <c r="X76" i="4"/>
  <c r="R76" i="4"/>
  <c r="Q76" i="4"/>
  <c r="J76" i="4"/>
  <c r="I76" i="4"/>
  <c r="Y75" i="4"/>
  <c r="X75" i="4"/>
  <c r="R75" i="4"/>
  <c r="Q75" i="4"/>
  <c r="J75" i="4"/>
  <c r="I75" i="4"/>
  <c r="Y74" i="4"/>
  <c r="X74" i="4"/>
  <c r="R74" i="4"/>
  <c r="Q74" i="4"/>
  <c r="J74" i="4"/>
  <c r="I74" i="4"/>
  <c r="Y73" i="4"/>
  <c r="X73" i="4"/>
  <c r="R73" i="4"/>
  <c r="Q73" i="4"/>
  <c r="J73" i="4"/>
  <c r="I73" i="4"/>
  <c r="Y72" i="4"/>
  <c r="X72" i="4"/>
  <c r="R72" i="4"/>
  <c r="Q72" i="4"/>
  <c r="J72" i="4"/>
  <c r="I72" i="4"/>
  <c r="Y71" i="4"/>
  <c r="X71" i="4"/>
  <c r="R71" i="4"/>
  <c r="Q71" i="4"/>
  <c r="J71" i="4"/>
  <c r="I71" i="4"/>
  <c r="Y70" i="4"/>
  <c r="X70" i="4"/>
  <c r="R70" i="4"/>
  <c r="Q70" i="4"/>
  <c r="J70" i="4"/>
  <c r="I70" i="4"/>
  <c r="Y69" i="4"/>
  <c r="X69" i="4"/>
  <c r="R69" i="4"/>
  <c r="Q69" i="4"/>
  <c r="J69" i="4"/>
  <c r="I69" i="4"/>
  <c r="Y68" i="4"/>
  <c r="X68" i="4"/>
  <c r="R68" i="4"/>
  <c r="Q68" i="4"/>
  <c r="J68" i="4"/>
  <c r="I68" i="4"/>
  <c r="Y67" i="4"/>
  <c r="X67" i="4"/>
  <c r="R67" i="4"/>
  <c r="Q67" i="4"/>
  <c r="J67" i="4"/>
  <c r="I67" i="4"/>
  <c r="Y66" i="4"/>
  <c r="X66" i="4"/>
  <c r="R66" i="4"/>
  <c r="Q66" i="4"/>
  <c r="J66" i="4"/>
  <c r="I66" i="4"/>
  <c r="Y65" i="4"/>
  <c r="X65" i="4"/>
  <c r="R65" i="4"/>
  <c r="Q65" i="4"/>
  <c r="J65" i="4"/>
  <c r="I65" i="4"/>
  <c r="Y64" i="4"/>
  <c r="X64" i="4"/>
  <c r="R64" i="4"/>
  <c r="Q64" i="4"/>
  <c r="J64" i="4"/>
  <c r="I64" i="4"/>
  <c r="Y63" i="4"/>
  <c r="X63" i="4"/>
  <c r="R63" i="4"/>
  <c r="Q63" i="4"/>
  <c r="J63" i="4"/>
  <c r="I63" i="4"/>
  <c r="Y62" i="4"/>
  <c r="X62" i="4"/>
  <c r="R62" i="4"/>
  <c r="Q62" i="4"/>
  <c r="J62" i="4"/>
  <c r="I62" i="4"/>
  <c r="Y61" i="4"/>
  <c r="X61" i="4"/>
  <c r="R61" i="4"/>
  <c r="Q61" i="4"/>
  <c r="J61" i="4"/>
  <c r="I61" i="4"/>
  <c r="Y60" i="4"/>
  <c r="X60" i="4"/>
  <c r="R60" i="4"/>
  <c r="Q60" i="4"/>
  <c r="J60" i="4"/>
  <c r="I60" i="4"/>
  <c r="Y59" i="4"/>
  <c r="X59" i="4"/>
  <c r="R59" i="4"/>
  <c r="Q59" i="4"/>
  <c r="J59" i="4"/>
  <c r="I59" i="4"/>
  <c r="Y58" i="4"/>
  <c r="X58" i="4"/>
  <c r="R58" i="4"/>
  <c r="Q58" i="4"/>
  <c r="J58" i="4"/>
  <c r="I58" i="4"/>
  <c r="Y57" i="4"/>
  <c r="X57" i="4"/>
  <c r="R57" i="4"/>
  <c r="Q57" i="4"/>
  <c r="J57" i="4"/>
  <c r="I57" i="4"/>
  <c r="Y56" i="4"/>
  <c r="X56" i="4"/>
  <c r="R56" i="4"/>
  <c r="Q56" i="4"/>
  <c r="J56" i="4"/>
  <c r="I56" i="4"/>
  <c r="Y55" i="4"/>
  <c r="X55" i="4"/>
  <c r="R55" i="4"/>
  <c r="Q55" i="4"/>
  <c r="J55" i="4"/>
  <c r="I55" i="4"/>
  <c r="Y54" i="4"/>
  <c r="X54" i="4"/>
  <c r="R54" i="4"/>
  <c r="Q54" i="4"/>
  <c r="J54" i="4"/>
  <c r="I54" i="4"/>
  <c r="Y53" i="4"/>
  <c r="X53" i="4"/>
  <c r="R53" i="4"/>
  <c r="Q53" i="4"/>
  <c r="J53" i="4"/>
  <c r="I53" i="4"/>
  <c r="Y52" i="4"/>
  <c r="X52" i="4"/>
  <c r="R52" i="4"/>
  <c r="Q52" i="4"/>
  <c r="J52" i="4"/>
  <c r="I52" i="4"/>
  <c r="Y51" i="4"/>
  <c r="X51" i="4"/>
  <c r="R51" i="4"/>
  <c r="Q51" i="4"/>
  <c r="J51" i="4"/>
  <c r="I51" i="4"/>
  <c r="Y50" i="4"/>
  <c r="X50" i="4"/>
  <c r="R50" i="4"/>
  <c r="Q50" i="4"/>
  <c r="J50" i="4"/>
  <c r="I50" i="4"/>
  <c r="Y49" i="4"/>
  <c r="X49" i="4"/>
  <c r="R49" i="4"/>
  <c r="Q49" i="4"/>
  <c r="J49" i="4"/>
  <c r="I49" i="4"/>
  <c r="Y48" i="4"/>
  <c r="X48" i="4"/>
  <c r="AD48" i="4" s="1"/>
  <c r="R48" i="4"/>
  <c r="Q48" i="4"/>
  <c r="J48" i="4"/>
  <c r="I48" i="4"/>
  <c r="Y47" i="4"/>
  <c r="X47" i="4"/>
  <c r="R47" i="4"/>
  <c r="Q47" i="4"/>
  <c r="J47" i="4"/>
  <c r="I47" i="4"/>
  <c r="Y46" i="4"/>
  <c r="X46" i="4"/>
  <c r="R46" i="4"/>
  <c r="Q46" i="4"/>
  <c r="J46" i="4"/>
  <c r="I46" i="4"/>
  <c r="Y45" i="4"/>
  <c r="X45" i="4"/>
  <c r="R45" i="4"/>
  <c r="Q45" i="4"/>
  <c r="J45" i="4"/>
  <c r="I45" i="4"/>
  <c r="Y44" i="4"/>
  <c r="X44" i="4"/>
  <c r="R44" i="4"/>
  <c r="Q44" i="4"/>
  <c r="J44" i="4"/>
  <c r="I44" i="4"/>
  <c r="Y43" i="4"/>
  <c r="X43" i="4"/>
  <c r="R43" i="4"/>
  <c r="Q43" i="4"/>
  <c r="J43" i="4"/>
  <c r="I43" i="4"/>
  <c r="Y42" i="4"/>
  <c r="X42" i="4"/>
  <c r="R42" i="4"/>
  <c r="Q42" i="4"/>
  <c r="J42" i="4"/>
  <c r="I42" i="4"/>
  <c r="Y41" i="4"/>
  <c r="X41" i="4"/>
  <c r="R41" i="4"/>
  <c r="Q41" i="4"/>
  <c r="J41" i="4"/>
  <c r="I41" i="4"/>
  <c r="Y40" i="4"/>
  <c r="X40" i="4"/>
  <c r="R40" i="4"/>
  <c r="Q40" i="4"/>
  <c r="J40" i="4"/>
  <c r="I40" i="4"/>
  <c r="Y39" i="4"/>
  <c r="X39" i="4"/>
  <c r="R39" i="4"/>
  <c r="Q39" i="4"/>
  <c r="J39" i="4"/>
  <c r="I39" i="4"/>
  <c r="Y38" i="4"/>
  <c r="X38" i="4"/>
  <c r="R38" i="4"/>
  <c r="Q38" i="4"/>
  <c r="J38" i="4"/>
  <c r="I38" i="4"/>
  <c r="Y37" i="4"/>
  <c r="X37" i="4"/>
  <c r="R37" i="4"/>
  <c r="Q37" i="4"/>
  <c r="J37" i="4"/>
  <c r="I37" i="4"/>
  <c r="Y36" i="4"/>
  <c r="X36" i="4"/>
  <c r="R36" i="4"/>
  <c r="Q36" i="4"/>
  <c r="J36" i="4"/>
  <c r="I36" i="4"/>
  <c r="Y35" i="4"/>
  <c r="X35" i="4"/>
  <c r="R35" i="4"/>
  <c r="Q35" i="4"/>
  <c r="J35" i="4"/>
  <c r="I35" i="4"/>
  <c r="Y34" i="4"/>
  <c r="X34" i="4"/>
  <c r="R34" i="4"/>
  <c r="Q34" i="4"/>
  <c r="J34" i="4"/>
  <c r="I34" i="4"/>
  <c r="Y33" i="4"/>
  <c r="X33" i="4"/>
  <c r="R33" i="4"/>
  <c r="Q33" i="4"/>
  <c r="J33" i="4"/>
  <c r="I33" i="4"/>
  <c r="Y32" i="4"/>
  <c r="X32" i="4"/>
  <c r="R32" i="4"/>
  <c r="Q32" i="4"/>
  <c r="J32" i="4"/>
  <c r="I32" i="4"/>
  <c r="Y31" i="4"/>
  <c r="X31" i="4"/>
  <c r="R31" i="4"/>
  <c r="Q31" i="4"/>
  <c r="J31" i="4"/>
  <c r="I31" i="4"/>
  <c r="Y30" i="4"/>
  <c r="X30" i="4"/>
  <c r="R30" i="4"/>
  <c r="Q30" i="4"/>
  <c r="J30" i="4"/>
  <c r="I30" i="4"/>
  <c r="Y29" i="4"/>
  <c r="X29" i="4"/>
  <c r="R29" i="4"/>
  <c r="Q29" i="4"/>
  <c r="J29" i="4"/>
  <c r="I29" i="4"/>
  <c r="Y28" i="4"/>
  <c r="X28" i="4"/>
  <c r="R28" i="4"/>
  <c r="Q28" i="4"/>
  <c r="J28" i="4"/>
  <c r="I28" i="4"/>
  <c r="Y27" i="4"/>
  <c r="X27" i="4"/>
  <c r="R27" i="4"/>
  <c r="Q27" i="4"/>
  <c r="J27" i="4"/>
  <c r="I27" i="4"/>
  <c r="Y26" i="4"/>
  <c r="X26" i="4"/>
  <c r="R26" i="4"/>
  <c r="Q26" i="4"/>
  <c r="J26" i="4"/>
  <c r="I26" i="4"/>
  <c r="Y25" i="4"/>
  <c r="X25" i="4"/>
  <c r="R25" i="4"/>
  <c r="Q25" i="4"/>
  <c r="J25" i="4"/>
  <c r="I25" i="4"/>
  <c r="Y24" i="4"/>
  <c r="X24" i="4"/>
  <c r="R24" i="4"/>
  <c r="Q24" i="4"/>
  <c r="J24" i="4"/>
  <c r="I24" i="4"/>
  <c r="Y23" i="4"/>
  <c r="X23" i="4"/>
  <c r="R23" i="4"/>
  <c r="Q23" i="4"/>
  <c r="J23" i="4"/>
  <c r="I23" i="4"/>
  <c r="Y22" i="4"/>
  <c r="X22" i="4"/>
  <c r="R22" i="4"/>
  <c r="Q22" i="4"/>
  <c r="J22" i="4"/>
  <c r="I22" i="4"/>
  <c r="Y21" i="4"/>
  <c r="X21" i="4"/>
  <c r="R21" i="4"/>
  <c r="Q21" i="4"/>
  <c r="J21" i="4"/>
  <c r="I21" i="4"/>
  <c r="Y20" i="4"/>
  <c r="X20" i="4"/>
  <c r="R20" i="4"/>
  <c r="Q20" i="4"/>
  <c r="J20" i="4"/>
  <c r="I20" i="4"/>
  <c r="Y19" i="4"/>
  <c r="X19" i="4"/>
  <c r="R19" i="4"/>
  <c r="Q19" i="4"/>
  <c r="J19" i="4"/>
  <c r="I19" i="4"/>
  <c r="Y18" i="4"/>
  <c r="X18" i="4"/>
  <c r="R18" i="4"/>
  <c r="Q18" i="4"/>
  <c r="J18" i="4"/>
  <c r="I18" i="4"/>
  <c r="Y17" i="4"/>
  <c r="X17" i="4"/>
  <c r="R17" i="4"/>
  <c r="Q17" i="4"/>
  <c r="J17" i="4"/>
  <c r="I17" i="4"/>
  <c r="Y16" i="4"/>
  <c r="X16" i="4"/>
  <c r="R16" i="4"/>
  <c r="Q16" i="4"/>
  <c r="J16" i="4"/>
  <c r="I16" i="4"/>
  <c r="Y15" i="4"/>
  <c r="X15" i="4"/>
  <c r="R15" i="4"/>
  <c r="Q15" i="4"/>
  <c r="J15" i="4"/>
  <c r="I15" i="4"/>
  <c r="Y14" i="4"/>
  <c r="X14" i="4"/>
  <c r="R14" i="4"/>
  <c r="Q14" i="4"/>
  <c r="J14" i="4"/>
  <c r="I14" i="4"/>
  <c r="Y13" i="4"/>
  <c r="X13" i="4"/>
  <c r="R13" i="4"/>
  <c r="Q13" i="4"/>
  <c r="J13" i="4"/>
  <c r="I13" i="4"/>
  <c r="Y12" i="4"/>
  <c r="X12" i="4"/>
  <c r="R12" i="4"/>
  <c r="Q12" i="4"/>
  <c r="J12" i="4"/>
  <c r="I12" i="4"/>
  <c r="Y11" i="4"/>
  <c r="X11" i="4"/>
  <c r="R11" i="4"/>
  <c r="Q11" i="4"/>
  <c r="J11" i="4"/>
  <c r="I11" i="4"/>
  <c r="Y10" i="4"/>
  <c r="X10" i="4"/>
  <c r="R10" i="4"/>
  <c r="Q10" i="4"/>
  <c r="J10" i="4"/>
  <c r="I10" i="4"/>
  <c r="Y9" i="4"/>
  <c r="X9" i="4"/>
  <c r="R9" i="4"/>
  <c r="Q9" i="4"/>
  <c r="J9" i="4"/>
  <c r="I9" i="4"/>
  <c r="Y8" i="4"/>
  <c r="X8" i="4"/>
  <c r="R8" i="4"/>
  <c r="Q8" i="4"/>
  <c r="J8" i="4"/>
  <c r="I8" i="4"/>
  <c r="Y7" i="4"/>
  <c r="X7" i="4"/>
  <c r="R7" i="4"/>
  <c r="Q7" i="4"/>
  <c r="J7" i="4"/>
  <c r="I7" i="4"/>
  <c r="Y6" i="4"/>
  <c r="X6" i="4"/>
  <c r="R6" i="4"/>
  <c r="Q6" i="4"/>
  <c r="J6" i="4"/>
  <c r="I6" i="4"/>
  <c r="Y5" i="4"/>
  <c r="X5" i="4"/>
  <c r="R5" i="4"/>
  <c r="Q5" i="4"/>
  <c r="J5" i="4"/>
  <c r="I5" i="4"/>
  <c r="Y4" i="4"/>
  <c r="X4" i="4"/>
  <c r="R4" i="4"/>
  <c r="Q4" i="4"/>
  <c r="J4" i="4"/>
  <c r="I4" i="4"/>
  <c r="Y3" i="4"/>
  <c r="X3" i="4"/>
  <c r="R3" i="4"/>
  <c r="Q3" i="4"/>
  <c r="J3" i="4"/>
  <c r="I3" i="4"/>
  <c r="Y2" i="4"/>
  <c r="X2" i="4"/>
  <c r="R2" i="4"/>
  <c r="Q2" i="4"/>
  <c r="J2" i="4"/>
  <c r="I2" i="4"/>
  <c r="T828" i="4" l="1"/>
  <c r="W830" i="4"/>
  <c r="S834" i="4"/>
  <c r="W836" i="4"/>
  <c r="A840" i="4"/>
  <c r="V846" i="4"/>
  <c r="U854" i="4"/>
  <c r="A69" i="4"/>
  <c r="T113" i="4"/>
  <c r="S137" i="4"/>
  <c r="V227" i="4"/>
  <c r="A229" i="4"/>
  <c r="A233" i="4"/>
  <c r="W267" i="4"/>
  <c r="A269" i="4"/>
  <c r="U273" i="4"/>
  <c r="V291" i="4"/>
  <c r="T297" i="4"/>
  <c r="U317" i="4"/>
  <c r="A349" i="4"/>
  <c r="S69" i="4"/>
  <c r="U79" i="4"/>
  <c r="A41" i="4"/>
  <c r="U43" i="4"/>
  <c r="A45" i="4"/>
  <c r="U55" i="4"/>
  <c r="U736" i="4"/>
  <c r="A768" i="4"/>
  <c r="T10" i="4"/>
  <c r="T30" i="4"/>
  <c r="V52" i="4"/>
  <c r="A102" i="4"/>
  <c r="S379" i="4"/>
  <c r="A421" i="4"/>
  <c r="V439" i="4"/>
  <c r="W449" i="4"/>
  <c r="A477" i="4"/>
  <c r="A501" i="4"/>
  <c r="A505" i="4"/>
  <c r="U509" i="4"/>
  <c r="A513" i="4"/>
  <c r="S515" i="4"/>
  <c r="S517" i="4"/>
  <c r="A531" i="4"/>
  <c r="U533" i="4"/>
  <c r="A535" i="4"/>
  <c r="V537" i="4"/>
  <c r="U549" i="4"/>
  <c r="T551" i="4"/>
  <c r="S577" i="4"/>
  <c r="A579" i="4"/>
  <c r="W583" i="4"/>
  <c r="A591" i="4"/>
  <c r="A595" i="4"/>
  <c r="U597" i="4"/>
  <c r="V643" i="4"/>
  <c r="T669" i="4"/>
  <c r="V689" i="4"/>
  <c r="U806" i="4"/>
  <c r="A97" i="4"/>
  <c r="T130" i="4"/>
  <c r="V244" i="4"/>
  <c r="A410" i="4"/>
  <c r="U701" i="4"/>
  <c r="A819" i="4"/>
  <c r="A827" i="4"/>
  <c r="AB617" i="4"/>
  <c r="AA447" i="4"/>
  <c r="AA200" i="4"/>
  <c r="AC384" i="4"/>
  <c r="AB392" i="4"/>
  <c r="AC418" i="4"/>
  <c r="Z616" i="4"/>
  <c r="B656" i="4"/>
  <c r="AC680" i="4"/>
  <c r="AB809" i="4"/>
  <c r="A244" i="4"/>
  <c r="U39" i="4"/>
  <c r="T94" i="4"/>
  <c r="S157" i="4"/>
  <c r="S320" i="4"/>
  <c r="W710" i="4"/>
  <c r="S730" i="4"/>
  <c r="S867" i="4"/>
  <c r="S45" i="4"/>
  <c r="T53" i="4"/>
  <c r="U253" i="4"/>
  <c r="T281" i="4"/>
  <c r="A361" i="4"/>
  <c r="S421" i="4"/>
  <c r="S637" i="4"/>
  <c r="A736" i="4"/>
  <c r="S17" i="4"/>
  <c r="S37" i="4"/>
  <c r="T90" i="4"/>
  <c r="S125" i="4"/>
  <c r="W149" i="4"/>
  <c r="A397" i="4"/>
  <c r="S747" i="4"/>
  <c r="S812" i="4"/>
  <c r="T54" i="4"/>
  <c r="T58" i="4"/>
  <c r="A62" i="4"/>
  <c r="T123" i="4"/>
  <c r="S220" i="4"/>
  <c r="A264" i="4"/>
  <c r="A308" i="4"/>
  <c r="S377" i="4"/>
  <c r="A387" i="4"/>
  <c r="A438" i="4"/>
  <c r="U454" i="4"/>
  <c r="V456" i="4"/>
  <c r="V494" i="4"/>
  <c r="A500" i="4"/>
  <c r="A530" i="4"/>
  <c r="A552" i="4"/>
  <c r="T562" i="4"/>
  <c r="T566" i="4"/>
  <c r="A570" i="4"/>
  <c r="V586" i="4"/>
  <c r="V588" i="4"/>
  <c r="A594" i="4"/>
  <c r="A614" i="4"/>
  <c r="A642" i="4"/>
  <c r="A650" i="4"/>
  <c r="U668" i="4"/>
  <c r="A670" i="4"/>
  <c r="U688" i="4"/>
  <c r="A690" i="4"/>
  <c r="U739" i="4"/>
  <c r="A743" i="4"/>
  <c r="T790" i="4"/>
  <c r="A845" i="4"/>
  <c r="AA132" i="4"/>
  <c r="AA160" i="4"/>
  <c r="AA170" i="4"/>
  <c r="AD291" i="4"/>
  <c r="AB309" i="4"/>
  <c r="AD311" i="4"/>
  <c r="AA366" i="4"/>
  <c r="AA374" i="4"/>
  <c r="Z380" i="4"/>
  <c r="AC453" i="4"/>
  <c r="AB461" i="4"/>
  <c r="Z561" i="4"/>
  <c r="AA569" i="4"/>
  <c r="B585" i="4"/>
  <c r="AA605" i="4"/>
  <c r="AC611" i="4"/>
  <c r="AC615" i="4"/>
  <c r="AB761" i="4"/>
  <c r="AB764" i="4"/>
  <c r="AC794" i="4"/>
  <c r="AA800" i="4"/>
  <c r="Z827" i="4"/>
  <c r="AB835" i="4"/>
  <c r="B845" i="4"/>
  <c r="AD19" i="4"/>
  <c r="AD197" i="4"/>
  <c r="AA264" i="4"/>
  <c r="Z286" i="4"/>
  <c r="B616" i="4"/>
  <c r="AC852" i="4"/>
  <c r="T122" i="4"/>
  <c r="T137" i="4"/>
  <c r="U286" i="4"/>
  <c r="S291" i="4"/>
  <c r="U517" i="4"/>
  <c r="T14" i="4"/>
  <c r="V28" i="4"/>
  <c r="T38" i="4"/>
  <c r="U47" i="4"/>
  <c r="U51" i="4"/>
  <c r="A53" i="4"/>
  <c r="T66" i="4"/>
  <c r="T70" i="4"/>
  <c r="T78" i="4"/>
  <c r="T82" i="4"/>
  <c r="S97" i="4"/>
  <c r="T115" i="4"/>
  <c r="A126" i="4"/>
  <c r="U128" i="4"/>
  <c r="W161" i="4"/>
  <c r="S165" i="4"/>
  <c r="S169" i="4"/>
  <c r="T171" i="4"/>
  <c r="T177" i="4"/>
  <c r="T179" i="4"/>
  <c r="A193" i="4"/>
  <c r="T194" i="4"/>
  <c r="V212" i="4"/>
  <c r="T216" i="4"/>
  <c r="T220" i="4"/>
  <c r="W247" i="4"/>
  <c r="A261" i="4"/>
  <c r="W268" i="4"/>
  <c r="W272" i="4"/>
  <c r="U278" i="4"/>
  <c r="W300" i="4"/>
  <c r="A332" i="4"/>
  <c r="V351" i="4"/>
  <c r="U364" i="4"/>
  <c r="V366" i="4"/>
  <c r="W375" i="4"/>
  <c r="T392" i="4"/>
  <c r="W400" i="4"/>
  <c r="T402" i="4"/>
  <c r="A429" i="4"/>
  <c r="W433" i="4"/>
  <c r="V446" i="4"/>
  <c r="S453" i="4"/>
  <c r="A457" i="4"/>
  <c r="W459" i="4"/>
  <c r="A465" i="4"/>
  <c r="V488" i="4"/>
  <c r="T502" i="4"/>
  <c r="U506" i="4"/>
  <c r="T516" i="4"/>
  <c r="T522" i="4"/>
  <c r="A526" i="4"/>
  <c r="C536" i="4"/>
  <c r="A625" i="4"/>
  <c r="A639" i="4"/>
  <c r="S666" i="4"/>
  <c r="U749" i="4"/>
  <c r="T756" i="4"/>
  <c r="A764" i="4"/>
  <c r="A789" i="4"/>
  <c r="S808" i="4"/>
  <c r="T844" i="4"/>
  <c r="V870" i="4"/>
  <c r="U3" i="4"/>
  <c r="A5" i="4"/>
  <c r="U11" i="4"/>
  <c r="A21" i="4"/>
  <c r="A29" i="4"/>
  <c r="W33" i="4"/>
  <c r="T42" i="4"/>
  <c r="T46" i="4"/>
  <c r="T50" i="4"/>
  <c r="A85" i="4"/>
  <c r="T91" i="4"/>
  <c r="T110" i="4"/>
  <c r="W112" i="4"/>
  <c r="T114" i="4"/>
  <c r="T129" i="4"/>
  <c r="S132" i="4"/>
  <c r="S136" i="4"/>
  <c r="U148" i="4"/>
  <c r="U164" i="4"/>
  <c r="T186" i="4"/>
  <c r="A190" i="4"/>
  <c r="W248" i="4"/>
  <c r="W288" i="4"/>
  <c r="A333" i="4"/>
  <c r="W351" i="4"/>
  <c r="T378" i="4"/>
  <c r="A412" i="4"/>
  <c r="A424" i="4"/>
  <c r="S433" i="4"/>
  <c r="S447" i="4"/>
  <c r="A449" i="4"/>
  <c r="V468" i="4"/>
  <c r="W477" i="4"/>
  <c r="V487" i="4"/>
  <c r="V530" i="4"/>
  <c r="T548" i="4"/>
  <c r="S550" i="4"/>
  <c r="A622" i="4"/>
  <c r="V624" i="4"/>
  <c r="A626" i="4"/>
  <c r="A638" i="4"/>
  <c r="A703" i="4"/>
  <c r="S713" i="4"/>
  <c r="A719" i="4"/>
  <c r="V721" i="4"/>
  <c r="U723" i="4"/>
  <c r="W727" i="4"/>
  <c r="U729" i="4"/>
  <c r="A739" i="4"/>
  <c r="T768" i="4"/>
  <c r="S789" i="4"/>
  <c r="S822" i="4"/>
  <c r="T827" i="4"/>
  <c r="T872" i="4"/>
  <c r="AA65" i="4"/>
  <c r="Z415" i="4"/>
  <c r="AD847" i="4"/>
  <c r="AA89" i="4"/>
  <c r="AD295" i="4"/>
  <c r="B593" i="4"/>
  <c r="B143" i="4"/>
  <c r="B159" i="4"/>
  <c r="B167" i="4"/>
  <c r="AC253" i="4"/>
  <c r="Z255" i="4"/>
  <c r="B259" i="4"/>
  <c r="B497" i="4"/>
  <c r="AC501" i="4"/>
  <c r="AB572" i="4"/>
  <c r="AC576" i="4"/>
  <c r="C615" i="4"/>
  <c r="B630" i="4"/>
  <c r="AB740" i="4"/>
  <c r="AA775" i="4"/>
  <c r="AA808" i="4"/>
  <c r="AA810" i="4"/>
  <c r="S117" i="4"/>
  <c r="T117" i="4"/>
  <c r="W662" i="4"/>
  <c r="T662" i="4"/>
  <c r="T787" i="4"/>
  <c r="U787" i="4"/>
  <c r="AD172" i="4"/>
  <c r="Z172" i="4"/>
  <c r="W215" i="4"/>
  <c r="V215" i="4"/>
  <c r="S259" i="4"/>
  <c r="V283" i="4"/>
  <c r="U384" i="4"/>
  <c r="T384" i="4"/>
  <c r="Z406" i="4"/>
  <c r="AA459" i="4"/>
  <c r="T748" i="4"/>
  <c r="A748" i="4"/>
  <c r="S21" i="4"/>
  <c r="T57" i="4"/>
  <c r="A57" i="4"/>
  <c r="A65" i="4"/>
  <c r="T65" i="4"/>
  <c r="A406" i="4"/>
  <c r="T406" i="4"/>
  <c r="S634" i="4"/>
  <c r="A634" i="4"/>
  <c r="S673" i="4"/>
  <c r="V673" i="4"/>
  <c r="A860" i="4"/>
  <c r="U860" i="4"/>
  <c r="T41" i="4"/>
  <c r="T105" i="4"/>
  <c r="W105" i="4"/>
  <c r="S113" i="4"/>
  <c r="C136" i="4"/>
  <c r="T178" i="4"/>
  <c r="A182" i="4"/>
  <c r="T182" i="4"/>
  <c r="W193" i="4"/>
  <c r="AB297" i="4"/>
  <c r="V302" i="4"/>
  <c r="W304" i="4"/>
  <c r="V306" i="4"/>
  <c r="T363" i="4"/>
  <c r="S363" i="4"/>
  <c r="B478" i="4"/>
  <c r="W491" i="4"/>
  <c r="W629" i="4"/>
  <c r="B640" i="4"/>
  <c r="AD645" i="4"/>
  <c r="S646" i="4"/>
  <c r="T687" i="4"/>
  <c r="C710" i="4"/>
  <c r="C847" i="4"/>
  <c r="AB857" i="4"/>
  <c r="S9" i="4"/>
  <c r="V40" i="4"/>
  <c r="S57" i="4"/>
  <c r="T89" i="4"/>
  <c r="Z92" i="4"/>
  <c r="W100" i="4"/>
  <c r="S109" i="4"/>
  <c r="W144" i="4"/>
  <c r="U221" i="4"/>
  <c r="W223" i="4"/>
  <c r="S227" i="4"/>
  <c r="V228" i="4"/>
  <c r="W232" i="4"/>
  <c r="U241" i="4"/>
  <c r="V252" i="4"/>
  <c r="W271" i="4"/>
  <c r="A340" i="4"/>
  <c r="T340" i="4"/>
  <c r="V381" i="4"/>
  <c r="W387" i="4"/>
  <c r="AD403" i="4"/>
  <c r="W574" i="4"/>
  <c r="A584" i="4"/>
  <c r="AD585" i="4"/>
  <c r="AD597" i="4"/>
  <c r="T602" i="4"/>
  <c r="C608" i="4"/>
  <c r="U612" i="4"/>
  <c r="S685" i="4"/>
  <c r="U697" i="4"/>
  <c r="S697" i="4"/>
  <c r="T2" i="4"/>
  <c r="C12" i="4"/>
  <c r="T26" i="4"/>
  <c r="AA36" i="4"/>
  <c r="V56" i="4"/>
  <c r="U59" i="4"/>
  <c r="T62" i="4"/>
  <c r="U67" i="4"/>
  <c r="U75" i="4"/>
  <c r="U92" i="4"/>
  <c r="A94" i="4"/>
  <c r="T99" i="4"/>
  <c r="S104" i="4"/>
  <c r="T126" i="4"/>
  <c r="A134" i="4"/>
  <c r="S149" i="4"/>
  <c r="T191" i="4"/>
  <c r="A205" i="4"/>
  <c r="AC239" i="4"/>
  <c r="W279" i="4"/>
  <c r="A281" i="4"/>
  <c r="T288" i="4"/>
  <c r="W292" i="4"/>
  <c r="S311" i="4"/>
  <c r="AB316" i="4"/>
  <c r="U321" i="4"/>
  <c r="W323" i="4"/>
  <c r="A325" i="4"/>
  <c r="AB328" i="4"/>
  <c r="V334" i="4"/>
  <c r="A371" i="4"/>
  <c r="W373" i="4"/>
  <c r="S375" i="4"/>
  <c r="W431" i="4"/>
  <c r="T438" i="4"/>
  <c r="V442" i="4"/>
  <c r="AC451" i="4"/>
  <c r="A492" i="4"/>
  <c r="Z522" i="4"/>
  <c r="U527" i="4"/>
  <c r="W565" i="4"/>
  <c r="AD566" i="4"/>
  <c r="C584" i="4"/>
  <c r="W614" i="4"/>
  <c r="AC656" i="4"/>
  <c r="A665" i="4"/>
  <c r="U674" i="4"/>
  <c r="A730" i="4"/>
  <c r="T730" i="4"/>
  <c r="A744" i="4"/>
  <c r="V746" i="4"/>
  <c r="U769" i="4"/>
  <c r="A797" i="4"/>
  <c r="W808" i="4"/>
  <c r="AD815" i="4"/>
  <c r="AB817" i="4"/>
  <c r="S820" i="4"/>
  <c r="AD825" i="4"/>
  <c r="T841" i="4"/>
  <c r="S844" i="4"/>
  <c r="C866" i="4"/>
  <c r="A153" i="4"/>
  <c r="T155" i="4"/>
  <c r="T157" i="4"/>
  <c r="A185" i="4"/>
  <c r="T187" i="4"/>
  <c r="W189" i="4"/>
  <c r="S192" i="4"/>
  <c r="AA194" i="4"/>
  <c r="AA198" i="4"/>
  <c r="T199" i="4"/>
  <c r="AC200" i="4"/>
  <c r="U217" i="4"/>
  <c r="S224" i="4"/>
  <c r="S231" i="4"/>
  <c r="W251" i="4"/>
  <c r="A253" i="4"/>
  <c r="A256" i="4"/>
  <c r="V258" i="4"/>
  <c r="A260" i="4"/>
  <c r="B271" i="4"/>
  <c r="AB272" i="4"/>
  <c r="AB288" i="4"/>
  <c r="U289" i="4"/>
  <c r="Z291" i="4"/>
  <c r="V314" i="4"/>
  <c r="AC321" i="4"/>
  <c r="V322" i="4"/>
  <c r="AB325" i="4"/>
  <c r="B327" i="4"/>
  <c r="U337" i="4"/>
  <c r="A368" i="4"/>
  <c r="A370" i="4"/>
  <c r="V372" i="4"/>
  <c r="AC373" i="4"/>
  <c r="W382" i="4"/>
  <c r="S391" i="4"/>
  <c r="C394" i="4"/>
  <c r="V408" i="4"/>
  <c r="A426" i="4"/>
  <c r="S436" i="4"/>
  <c r="A445" i="4"/>
  <c r="AC447" i="4"/>
  <c r="U457" i="4"/>
  <c r="U467" i="4"/>
  <c r="W500" i="4"/>
  <c r="AD540" i="4"/>
  <c r="AD542" i="4"/>
  <c r="AB546" i="4"/>
  <c r="AD565" i="4"/>
  <c r="Z568" i="4"/>
  <c r="V569" i="4"/>
  <c r="AC610" i="4"/>
  <c r="A617" i="4"/>
  <c r="T619" i="4"/>
  <c r="Z623" i="4"/>
  <c r="A633" i="4"/>
  <c r="AB646" i="4"/>
  <c r="A649" i="4"/>
  <c r="S650" i="4"/>
  <c r="U680" i="4"/>
  <c r="T682" i="4"/>
  <c r="AD689" i="4"/>
  <c r="T703" i="4"/>
  <c r="C712" i="4"/>
  <c r="AA718" i="4"/>
  <c r="T747" i="4"/>
  <c r="AA779" i="4"/>
  <c r="V815" i="4"/>
  <c r="S862" i="4"/>
  <c r="W694" i="4"/>
  <c r="A706" i="4"/>
  <c r="B707" i="4"/>
  <c r="AB711" i="4"/>
  <c r="AC715" i="4"/>
  <c r="AA721" i="4"/>
  <c r="AB736" i="4"/>
  <c r="AB739" i="4"/>
  <c r="A776" i="4"/>
  <c r="U781" i="4"/>
  <c r="U785" i="4"/>
  <c r="V789" i="4"/>
  <c r="V792" i="4"/>
  <c r="A801" i="4"/>
  <c r="A812" i="4"/>
  <c r="B824" i="4"/>
  <c r="T825" i="4"/>
  <c r="A844" i="4"/>
  <c r="V861" i="4"/>
  <c r="C862" i="4"/>
  <c r="AC7" i="4"/>
  <c r="AB34" i="4"/>
  <c r="Z44" i="4"/>
  <c r="AA76" i="4"/>
  <c r="AA94" i="4"/>
  <c r="AC99" i="4"/>
  <c r="Z108" i="4"/>
  <c r="Z112" i="4"/>
  <c r="AA120" i="4"/>
  <c r="B163" i="4"/>
  <c r="AA182" i="4"/>
  <c r="Z184" i="4"/>
  <c r="AA189" i="4"/>
  <c r="AA201" i="4"/>
  <c r="AC221" i="4"/>
  <c r="AC267" i="4"/>
  <c r="AB301" i="4"/>
  <c r="AD330" i="4"/>
  <c r="AB344" i="4"/>
  <c r="AA394" i="4"/>
  <c r="AA396" i="4"/>
  <c r="Z541" i="4"/>
  <c r="Z545" i="4"/>
  <c r="C558" i="4"/>
  <c r="AB578" i="4"/>
  <c r="AA582" i="4"/>
  <c r="AA624" i="4"/>
  <c r="AA626" i="4"/>
  <c r="B646" i="4"/>
  <c r="Z653" i="4"/>
  <c r="Z655" i="4"/>
  <c r="Z676" i="4"/>
  <c r="C694" i="4"/>
  <c r="AB743" i="4"/>
  <c r="B817" i="4"/>
  <c r="AA848" i="4"/>
  <c r="B870" i="4"/>
  <c r="AD278" i="4"/>
  <c r="B286" i="4"/>
  <c r="AC294" i="4"/>
  <c r="Z315" i="4"/>
  <c r="AD377" i="4"/>
  <c r="Z393" i="4"/>
  <c r="AB397" i="4"/>
  <c r="AD427" i="4"/>
  <c r="Z443" i="4"/>
  <c r="AC466" i="4"/>
  <c r="C492" i="4"/>
  <c r="Z506" i="4"/>
  <c r="AA534" i="4"/>
  <c r="B561" i="4"/>
  <c r="Z577" i="4"/>
  <c r="Z586" i="4"/>
  <c r="AD612" i="4"/>
  <c r="AC650" i="4"/>
  <c r="AD652" i="4"/>
  <c r="AA664" i="4"/>
  <c r="AD680" i="4"/>
  <c r="AB698" i="4"/>
  <c r="AB730" i="4"/>
  <c r="AC744" i="4"/>
  <c r="AC769" i="4"/>
  <c r="AC777" i="4"/>
  <c r="C782" i="4"/>
  <c r="AA786" i="4"/>
  <c r="AD787" i="4"/>
  <c r="B809" i="4"/>
  <c r="C817" i="4"/>
  <c r="AC834" i="4"/>
  <c r="AA847" i="4"/>
  <c r="AC860" i="4"/>
  <c r="AA867" i="4"/>
  <c r="Z8" i="4"/>
  <c r="Z35" i="4"/>
  <c r="AA88" i="4"/>
  <c r="B107" i="4"/>
  <c r="AC111" i="4"/>
  <c r="AA114" i="4"/>
  <c r="AD116" i="4"/>
  <c r="Z128" i="4"/>
  <c r="B135" i="4"/>
  <c r="AA184" i="4"/>
  <c r="AA192" i="4"/>
  <c r="AA204" i="4"/>
  <c r="AD204" i="4"/>
  <c r="AA220" i="4"/>
  <c r="AD226" i="4"/>
  <c r="AA227" i="4"/>
  <c r="AB240" i="4"/>
  <c r="AD302" i="4"/>
  <c r="AC338" i="4"/>
  <c r="AD424" i="4"/>
  <c r="AA479" i="4"/>
  <c r="AB509" i="4"/>
  <c r="AC595" i="4"/>
  <c r="AB630" i="4"/>
  <c r="AC632" i="4"/>
  <c r="C637" i="4"/>
  <c r="Z656" i="4"/>
  <c r="AC697" i="4"/>
  <c r="AA710" i="4"/>
  <c r="AA726" i="4"/>
  <c r="Z737" i="4"/>
  <c r="AC822" i="4"/>
  <c r="AC350" i="4"/>
  <c r="Z350" i="4"/>
  <c r="AC385" i="4"/>
  <c r="Z385" i="4"/>
  <c r="Z390" i="4"/>
  <c r="AA390" i="4"/>
  <c r="AD488" i="4"/>
  <c r="AA488" i="4"/>
  <c r="AA9" i="4"/>
  <c r="Z19" i="4"/>
  <c r="AA196" i="4"/>
  <c r="Z196" i="4"/>
  <c r="AD661" i="4"/>
  <c r="AA661" i="4"/>
  <c r="AC672" i="4"/>
  <c r="Z672" i="4"/>
  <c r="Z621" i="4"/>
  <c r="C621" i="4"/>
  <c r="AB300" i="4"/>
  <c r="AA300" i="4"/>
  <c r="AC334" i="4"/>
  <c r="Z334" i="4"/>
  <c r="AB26" i="4"/>
  <c r="Z40" i="4"/>
  <c r="C40" i="4"/>
  <c r="AA72" i="4"/>
  <c r="AD88" i="4"/>
  <c r="AA299" i="4"/>
  <c r="AD299" i="4"/>
  <c r="Z370" i="4"/>
  <c r="AD370" i="4"/>
  <c r="Z770" i="4"/>
  <c r="AA770" i="4"/>
  <c r="AD799" i="4"/>
  <c r="Z831" i="4"/>
  <c r="AA4" i="4"/>
  <c r="AC11" i="4"/>
  <c r="AD13" i="4"/>
  <c r="Z16" i="4"/>
  <c r="AA28" i="4"/>
  <c r="AA35" i="4"/>
  <c r="AB35" i="4"/>
  <c r="Z52" i="4"/>
  <c r="Z56" i="4"/>
  <c r="AA64" i="4"/>
  <c r="AD69" i="4"/>
  <c r="Z80" i="4"/>
  <c r="AA85" i="4"/>
  <c r="AD89" i="4"/>
  <c r="AA128" i="4"/>
  <c r="AD131" i="4"/>
  <c r="AA141" i="4"/>
  <c r="AD144" i="4"/>
  <c r="Z148" i="4"/>
  <c r="AA157" i="4"/>
  <c r="AD164" i="4"/>
  <c r="AA166" i="4"/>
  <c r="B203" i="4"/>
  <c r="B207" i="4"/>
  <c r="AA216" i="4"/>
  <c r="AA231" i="4"/>
  <c r="AD231" i="4"/>
  <c r="AC243" i="4"/>
  <c r="AA248" i="4"/>
  <c r="AA280" i="4"/>
  <c r="Z322" i="4"/>
  <c r="AD368" i="4"/>
  <c r="B384" i="4"/>
  <c r="AB384" i="4"/>
  <c r="AC411" i="4"/>
  <c r="AA456" i="4"/>
  <c r="Z456" i="4"/>
  <c r="AC471" i="4"/>
  <c r="AB484" i="4"/>
  <c r="Z486" i="4"/>
  <c r="AD491" i="4"/>
  <c r="B525" i="4"/>
  <c r="AC531" i="4"/>
  <c r="AC544" i="4"/>
  <c r="AA555" i="4"/>
  <c r="AD564" i="4"/>
  <c r="C568" i="4"/>
  <c r="Z570" i="4"/>
  <c r="AC614" i="4"/>
  <c r="AC631" i="4"/>
  <c r="AA677" i="4"/>
  <c r="B684" i="4"/>
  <c r="AC728" i="4"/>
  <c r="B769" i="4"/>
  <c r="AA774" i="4"/>
  <c r="Z795" i="4"/>
  <c r="C813" i="4"/>
  <c r="C611" i="4"/>
  <c r="C726" i="4"/>
  <c r="C291" i="4"/>
  <c r="C466" i="4"/>
  <c r="Z20" i="4"/>
  <c r="AD29" i="4"/>
  <c r="AB30" i="4"/>
  <c r="Z48" i="4"/>
  <c r="Z60" i="4"/>
  <c r="C76" i="4"/>
  <c r="AC79" i="4"/>
  <c r="AD103" i="4"/>
  <c r="AA117" i="4"/>
  <c r="Z132" i="4"/>
  <c r="AA138" i="4"/>
  <c r="AA142" i="4"/>
  <c r="AA143" i="4"/>
  <c r="AA161" i="4"/>
  <c r="AB163" i="4"/>
  <c r="AA173" i="4"/>
  <c r="AD191" i="4"/>
  <c r="AA232" i="4"/>
  <c r="AB237" i="4"/>
  <c r="C243" i="4"/>
  <c r="AA244" i="4"/>
  <c r="AD246" i="4"/>
  <c r="AC273" i="4"/>
  <c r="AB277" i="4"/>
  <c r="AD279" i="4"/>
  <c r="AA279" i="4"/>
  <c r="AB284" i="4"/>
  <c r="B290" i="4"/>
  <c r="AB410" i="4"/>
  <c r="C415" i="4"/>
  <c r="AA415" i="4"/>
  <c r="AA508" i="4"/>
  <c r="AC519" i="4"/>
  <c r="AB575" i="4"/>
  <c r="B575" i="4"/>
  <c r="Z584" i="4"/>
  <c r="AA585" i="4"/>
  <c r="AC612" i="4"/>
  <c r="C645" i="4"/>
  <c r="AB662" i="4"/>
  <c r="Z667" i="4"/>
  <c r="AA669" i="4"/>
  <c r="AA676" i="4"/>
  <c r="AB691" i="4"/>
  <c r="AD721" i="4"/>
  <c r="AA737" i="4"/>
  <c r="AA742" i="4"/>
  <c r="AD766" i="4"/>
  <c r="Z796" i="4"/>
  <c r="AB797" i="4"/>
  <c r="Z829" i="4"/>
  <c r="AD831" i="4"/>
  <c r="Z861" i="4"/>
  <c r="AB868" i="4"/>
  <c r="AD176" i="4"/>
  <c r="Z208" i="4"/>
  <c r="AA212" i="4"/>
  <c r="AB220" i="4"/>
  <c r="AD251" i="4"/>
  <c r="C255" i="4"/>
  <c r="AB264" i="4"/>
  <c r="AD271" i="4"/>
  <c r="AC286" i="4"/>
  <c r="AC310" i="4"/>
  <c r="Z331" i="4"/>
  <c r="C347" i="4"/>
  <c r="AA348" i="4"/>
  <c r="AD351" i="4"/>
  <c r="B355" i="4"/>
  <c r="AC362" i="4"/>
  <c r="AC375" i="4"/>
  <c r="AA393" i="4"/>
  <c r="AB393" i="4"/>
  <c r="Z396" i="4"/>
  <c r="AA416" i="4"/>
  <c r="AA440" i="4"/>
  <c r="Z442" i="4"/>
  <c r="C447" i="4"/>
  <c r="AB447" i="4"/>
  <c r="AC449" i="4"/>
  <c r="AA460" i="4"/>
  <c r="Z463" i="4"/>
  <c r="AB467" i="4"/>
  <c r="AD472" i="4"/>
  <c r="B481" i="4"/>
  <c r="AC483" i="4"/>
  <c r="AB506" i="4"/>
  <c r="Z552" i="4"/>
  <c r="AA561" i="4"/>
  <c r="AA566" i="4"/>
  <c r="AA568" i="4"/>
  <c r="Z602" i="4"/>
  <c r="AD606" i="4"/>
  <c r="AC608" i="4"/>
  <c r="AB626" i="4"/>
  <c r="AA629" i="4"/>
  <c r="C661" i="4"/>
  <c r="AC663" i="4"/>
  <c r="Z705" i="4"/>
  <c r="AD758" i="4"/>
  <c r="C770" i="4"/>
  <c r="AA778" i="4"/>
  <c r="C786" i="4"/>
  <c r="Z788" i="4"/>
  <c r="AA789" i="4"/>
  <c r="B808" i="4"/>
  <c r="AA828" i="4"/>
  <c r="C831" i="4"/>
  <c r="AD853" i="4"/>
  <c r="AA855" i="4"/>
  <c r="AD862" i="4"/>
  <c r="S13" i="4"/>
  <c r="T13" i="4"/>
  <c r="A17" i="4"/>
  <c r="AB63" i="4"/>
  <c r="B63" i="4"/>
  <c r="AD81" i="4"/>
  <c r="AA81" i="4"/>
  <c r="Z96" i="4"/>
  <c r="AA96" i="4"/>
  <c r="AC188" i="4"/>
  <c r="AA188" i="4"/>
  <c r="A249" i="4"/>
  <c r="T249" i="4"/>
  <c r="V264" i="4"/>
  <c r="W264" i="4"/>
  <c r="T296" i="4"/>
  <c r="S296" i="4"/>
  <c r="V299" i="4"/>
  <c r="W299" i="4"/>
  <c r="S316" i="4"/>
  <c r="T316" i="4"/>
  <c r="AB317" i="4"/>
  <c r="AC317" i="4"/>
  <c r="V332" i="4"/>
  <c r="T332" i="4"/>
  <c r="S339" i="4"/>
  <c r="V339" i="4"/>
  <c r="T348" i="4"/>
  <c r="S348" i="4"/>
  <c r="A348" i="4"/>
  <c r="A367" i="4"/>
  <c r="T367" i="4"/>
  <c r="W386" i="4"/>
  <c r="V386" i="4"/>
  <c r="AC398" i="4"/>
  <c r="AB398" i="4"/>
  <c r="Z408" i="4"/>
  <c r="AD408" i="4"/>
  <c r="AA408" i="4"/>
  <c r="AA444" i="4"/>
  <c r="Z444" i="4"/>
  <c r="AD502" i="4"/>
  <c r="Z502" i="4"/>
  <c r="AC528" i="4"/>
  <c r="AD528" i="4"/>
  <c r="Z528" i="4"/>
  <c r="W594" i="4"/>
  <c r="T594" i="4"/>
  <c r="S594" i="4"/>
  <c r="Z685" i="4"/>
  <c r="C685" i="4"/>
  <c r="AA688" i="4"/>
  <c r="Z688" i="4"/>
  <c r="B688" i="4"/>
  <c r="AC688" i="4"/>
  <c r="Z4" i="4"/>
  <c r="T9" i="4"/>
  <c r="A13" i="4"/>
  <c r="S29" i="4"/>
  <c r="T29" i="4"/>
  <c r="AA33" i="4"/>
  <c r="T34" i="4"/>
  <c r="AD35" i="4"/>
  <c r="AD37" i="4"/>
  <c r="AA37" i="4"/>
  <c r="AD41" i="4"/>
  <c r="AA41" i="4"/>
  <c r="C52" i="4"/>
  <c r="AD77" i="4"/>
  <c r="C80" i="4"/>
  <c r="T85" i="4"/>
  <c r="S85" i="4"/>
  <c r="W125" i="4"/>
  <c r="A129" i="4"/>
  <c r="S129" i="4"/>
  <c r="W146" i="4"/>
  <c r="T146" i="4"/>
  <c r="AC156" i="4"/>
  <c r="AA156" i="4"/>
  <c r="Z156" i="4"/>
  <c r="W181" i="4"/>
  <c r="S185" i="4"/>
  <c r="AD208" i="4"/>
  <c r="AA208" i="4"/>
  <c r="C208" i="4"/>
  <c r="W209" i="4"/>
  <c r="T209" i="4"/>
  <c r="AA215" i="4"/>
  <c r="Z215" i="4"/>
  <c r="AA223" i="4"/>
  <c r="B223" i="4"/>
  <c r="T228" i="4"/>
  <c r="W231" i="4"/>
  <c r="AD234" i="4"/>
  <c r="T237" i="4"/>
  <c r="W244" i="4"/>
  <c r="AC255" i="4"/>
  <c r="T264" i="4"/>
  <c r="AA267" i="4"/>
  <c r="B267" i="4"/>
  <c r="AD267" i="4"/>
  <c r="AC275" i="4"/>
  <c r="B294" i="4"/>
  <c r="AD294" i="4"/>
  <c r="AC303" i="4"/>
  <c r="AD303" i="4"/>
  <c r="B303" i="4"/>
  <c r="Z303" i="4"/>
  <c r="S308" i="4"/>
  <c r="V311" i="4"/>
  <c r="C314" i="4"/>
  <c r="C315" i="4"/>
  <c r="AA323" i="4"/>
  <c r="B323" i="4"/>
  <c r="AD323" i="4"/>
  <c r="S332" i="4"/>
  <c r="V336" i="4"/>
  <c r="W355" i="4"/>
  <c r="V355" i="4"/>
  <c r="AB356" i="4"/>
  <c r="AA356" i="4"/>
  <c r="T361" i="4"/>
  <c r="B368" i="4"/>
  <c r="C370" i="4"/>
  <c r="W371" i="4"/>
  <c r="W377" i="4"/>
  <c r="U377" i="4"/>
  <c r="AC377" i="4"/>
  <c r="T391" i="4"/>
  <c r="T421" i="4"/>
  <c r="AB429" i="4"/>
  <c r="AA429" i="4"/>
  <c r="C430" i="4"/>
  <c r="V430" i="4"/>
  <c r="U438" i="4"/>
  <c r="V460" i="4"/>
  <c r="W460" i="4"/>
  <c r="C460" i="4"/>
  <c r="A470" i="4"/>
  <c r="U470" i="4"/>
  <c r="A472" i="4"/>
  <c r="T472" i="4"/>
  <c r="AB480" i="4"/>
  <c r="AA480" i="4"/>
  <c r="AA492" i="4"/>
  <c r="Z492" i="4"/>
  <c r="T500" i="4"/>
  <c r="S500" i="4"/>
  <c r="AA515" i="4"/>
  <c r="W519" i="4"/>
  <c r="Z524" i="4"/>
  <c r="C524" i="4"/>
  <c r="S538" i="4"/>
  <c r="V538" i="4"/>
  <c r="A538" i="4"/>
  <c r="AB539" i="4"/>
  <c r="AA539" i="4"/>
  <c r="S546" i="4"/>
  <c r="T546" i="4"/>
  <c r="C600" i="4"/>
  <c r="U600" i="4"/>
  <c r="U626" i="4"/>
  <c r="B627" i="4"/>
  <c r="AB627" i="4"/>
  <c r="C671" i="4"/>
  <c r="Z671" i="4"/>
  <c r="AD685" i="4"/>
  <c r="AC692" i="4"/>
  <c r="B692" i="4"/>
  <c r="AB692" i="4"/>
  <c r="Z702" i="4"/>
  <c r="C702" i="4"/>
  <c r="AD32" i="4"/>
  <c r="Z32" i="4"/>
  <c r="AD53" i="4"/>
  <c r="AA53" i="4"/>
  <c r="AD60" i="4"/>
  <c r="AC63" i="4"/>
  <c r="T81" i="4"/>
  <c r="AC100" i="4"/>
  <c r="AA100" i="4"/>
  <c r="AD120" i="4"/>
  <c r="AD124" i="4"/>
  <c r="Z124" i="4"/>
  <c r="AC140" i="4"/>
  <c r="Z140" i="4"/>
  <c r="T141" i="4"/>
  <c r="W141" i="4"/>
  <c r="AA152" i="4"/>
  <c r="Z168" i="4"/>
  <c r="AA168" i="4"/>
  <c r="AB216" i="4"/>
  <c r="AC237" i="4"/>
  <c r="V276" i="4"/>
  <c r="W276" i="4"/>
  <c r="S276" i="4"/>
  <c r="A301" i="4"/>
  <c r="T301" i="4"/>
  <c r="V307" i="4"/>
  <c r="S307" i="4"/>
  <c r="V352" i="4"/>
  <c r="S352" i="4"/>
  <c r="AD359" i="4"/>
  <c r="U367" i="4"/>
  <c r="S395" i="4"/>
  <c r="A395" i="4"/>
  <c r="C448" i="4"/>
  <c r="U451" i="4"/>
  <c r="S451" i="4"/>
  <c r="C456" i="4"/>
  <c r="T456" i="4"/>
  <c r="B458" i="4"/>
  <c r="C552" i="4"/>
  <c r="U552" i="4"/>
  <c r="S554" i="4"/>
  <c r="T615" i="4"/>
  <c r="U615" i="4"/>
  <c r="A654" i="4"/>
  <c r="T654" i="4"/>
  <c r="Z664" i="4"/>
  <c r="AB674" i="4"/>
  <c r="AA674" i="4"/>
  <c r="A9" i="4"/>
  <c r="AD5" i="4"/>
  <c r="AB7" i="4"/>
  <c r="AA16" i="4"/>
  <c r="V20" i="4"/>
  <c r="AA20" i="4"/>
  <c r="S25" i="4"/>
  <c r="W25" i="4"/>
  <c r="V44" i="4"/>
  <c r="T45" i="4"/>
  <c r="C72" i="4"/>
  <c r="S73" i="4"/>
  <c r="A73" i="4"/>
  <c r="AA77" i="4"/>
  <c r="AA80" i="4"/>
  <c r="T97" i="4"/>
  <c r="AD169" i="4"/>
  <c r="T170" i="4"/>
  <c r="U172" i="4"/>
  <c r="T173" i="4"/>
  <c r="S173" i="4"/>
  <c r="AA175" i="4"/>
  <c r="W176" i="4"/>
  <c r="T193" i="4"/>
  <c r="U196" i="4"/>
  <c r="S197" i="4"/>
  <c r="T197" i="4"/>
  <c r="T206" i="4"/>
  <c r="W216" i="4"/>
  <c r="U237" i="4"/>
  <c r="Z238" i="4"/>
  <c r="AD238" i="4"/>
  <c r="AA268" i="4"/>
  <c r="AB268" i="4"/>
  <c r="W284" i="4"/>
  <c r="A284" i="4"/>
  <c r="S284" i="4"/>
  <c r="AC289" i="4"/>
  <c r="B318" i="4"/>
  <c r="AC318" i="4"/>
  <c r="AD322" i="4"/>
  <c r="U334" i="4"/>
  <c r="AA355" i="4"/>
  <c r="Z355" i="4"/>
  <c r="AD373" i="4"/>
  <c r="C373" i="4"/>
  <c r="AB375" i="4"/>
  <c r="S394" i="4"/>
  <c r="Z394" i="4"/>
  <c r="B398" i="4"/>
  <c r="V410" i="4"/>
  <c r="AB430" i="4"/>
  <c r="AC430" i="4"/>
  <c r="AB442" i="4"/>
  <c r="B442" i="4"/>
  <c r="AD475" i="4"/>
  <c r="AC475" i="4"/>
  <c r="W480" i="4"/>
  <c r="C480" i="4"/>
  <c r="S480" i="4"/>
  <c r="AB493" i="4"/>
  <c r="AA493" i="4"/>
  <c r="AB495" i="4"/>
  <c r="AA495" i="4"/>
  <c r="A497" i="4"/>
  <c r="W497" i="4"/>
  <c r="T497" i="4"/>
  <c r="AB507" i="4"/>
  <c r="AA507" i="4"/>
  <c r="B507" i="4"/>
  <c r="Z507" i="4"/>
  <c r="Z508" i="4"/>
  <c r="B510" i="4"/>
  <c r="AC510" i="4"/>
  <c r="W543" i="4"/>
  <c r="T543" i="4"/>
  <c r="AA577" i="4"/>
  <c r="V578" i="4"/>
  <c r="S578" i="4"/>
  <c r="C582" i="4"/>
  <c r="Z582" i="4"/>
  <c r="A599" i="4"/>
  <c r="W599" i="4"/>
  <c r="C620" i="4"/>
  <c r="W620" i="4"/>
  <c r="C623" i="4"/>
  <c r="AB643" i="4"/>
  <c r="AA653" i="4"/>
  <c r="W709" i="4"/>
  <c r="S714" i="4"/>
  <c r="T714" i="4"/>
  <c r="AD87" i="4"/>
  <c r="T161" i="4"/>
  <c r="A224" i="4"/>
  <c r="AD263" i="4"/>
  <c r="AA263" i="4"/>
  <c r="AC283" i="4"/>
  <c r="A297" i="4"/>
  <c r="U297" i="4"/>
  <c r="C303" i="4"/>
  <c r="AD314" i="4"/>
  <c r="W335" i="4"/>
  <c r="V348" i="4"/>
  <c r="AC363" i="4"/>
  <c r="T395" i="4"/>
  <c r="S440" i="4"/>
  <c r="S469" i="4"/>
  <c r="A493" i="4"/>
  <c r="U493" i="4"/>
  <c r="A506" i="4"/>
  <c r="AA536" i="4"/>
  <c r="Z536" i="4"/>
  <c r="T538" i="4"/>
  <c r="AA600" i="4"/>
  <c r="Z600" i="4"/>
  <c r="A602" i="4"/>
  <c r="T625" i="4"/>
  <c r="T641" i="4"/>
  <c r="C663" i="4"/>
  <c r="AA673" i="4"/>
  <c r="Z673" i="4"/>
  <c r="A682" i="4"/>
  <c r="AB704" i="4"/>
  <c r="B704" i="4"/>
  <c r="Z704" i="4"/>
  <c r="AA746" i="4"/>
  <c r="Z746" i="4"/>
  <c r="W819" i="4"/>
  <c r="AA820" i="4"/>
  <c r="B820" i="4"/>
  <c r="S836" i="4"/>
  <c r="AA870" i="4"/>
  <c r="W871" i="4"/>
  <c r="S88" i="4"/>
  <c r="A110" i="4"/>
  <c r="AA133" i="4"/>
  <c r="Z136" i="4"/>
  <c r="AD136" i="4"/>
  <c r="T166" i="4"/>
  <c r="AB210" i="4"/>
  <c r="AD266" i="4"/>
  <c r="V282" i="4"/>
  <c r="W319" i="4"/>
  <c r="AC337" i="4"/>
  <c r="T376" i="4"/>
  <c r="W378" i="4"/>
  <c r="C488" i="4"/>
  <c r="C495" i="4"/>
  <c r="C507" i="4"/>
  <c r="W507" i="4"/>
  <c r="V507" i="4"/>
  <c r="AD533" i="4"/>
  <c r="W535" i="4"/>
  <c r="C576" i="4"/>
  <c r="A658" i="4"/>
  <c r="U658" i="4"/>
  <c r="AB707" i="4"/>
  <c r="AA707" i="4"/>
  <c r="C4" i="4"/>
  <c r="S5" i="4"/>
  <c r="AD9" i="4"/>
  <c r="U15" i="4"/>
  <c r="AD17" i="4"/>
  <c r="AD21" i="4"/>
  <c r="AB23" i="4"/>
  <c r="AB31" i="4"/>
  <c r="C32" i="4"/>
  <c r="U48" i="4"/>
  <c r="W49" i="4"/>
  <c r="U60" i="4"/>
  <c r="W61" i="4"/>
  <c r="Z68" i="4"/>
  <c r="T69" i="4"/>
  <c r="T73" i="4"/>
  <c r="Z76" i="4"/>
  <c r="U83" i="4"/>
  <c r="AA101" i="4"/>
  <c r="A105" i="4"/>
  <c r="T106" i="4"/>
  <c r="AB107" i="4"/>
  <c r="U108" i="4"/>
  <c r="AA110" i="4"/>
  <c r="AA118" i="4"/>
  <c r="U124" i="4"/>
  <c r="AA129" i="4"/>
  <c r="W133" i="4"/>
  <c r="AA144" i="4"/>
  <c r="A149" i="4"/>
  <c r="AA150" i="4"/>
  <c r="AA153" i="4"/>
  <c r="AD155" i="4"/>
  <c r="S156" i="4"/>
  <c r="AA167" i="4"/>
  <c r="W168" i="4"/>
  <c r="A169" i="4"/>
  <c r="T169" i="4"/>
  <c r="W201" i="4"/>
  <c r="T201" i="4"/>
  <c r="AA206" i="4"/>
  <c r="U210" i="4"/>
  <c r="Z212" i="4"/>
  <c r="Z227" i="4"/>
  <c r="S228" i="4"/>
  <c r="Z243" i="4"/>
  <c r="S244" i="4"/>
  <c r="AB248" i="4"/>
  <c r="AA255" i="4"/>
  <c r="AC263" i="4"/>
  <c r="AD275" i="4"/>
  <c r="Z275" i="4"/>
  <c r="V286" i="4"/>
  <c r="A288" i="4"/>
  <c r="V288" i="4"/>
  <c r="B295" i="4"/>
  <c r="V298" i="4"/>
  <c r="AA315" i="4"/>
  <c r="AA316" i="4"/>
  <c r="AB329" i="4"/>
  <c r="B331" i="4"/>
  <c r="AB338" i="4"/>
  <c r="V344" i="4"/>
  <c r="V347" i="4"/>
  <c r="V350" i="4"/>
  <c r="AD358" i="4"/>
  <c r="V362" i="4"/>
  <c r="A364" i="4"/>
  <c r="AA373" i="4"/>
  <c r="B373" i="4"/>
  <c r="A379" i="4"/>
  <c r="T379" i="4"/>
  <c r="S382" i="4"/>
  <c r="U396" i="4"/>
  <c r="U406" i="4"/>
  <c r="C408" i="4"/>
  <c r="AC421" i="4"/>
  <c r="V424" i="4"/>
  <c r="U435" i="4"/>
  <c r="A436" i="4"/>
  <c r="W436" i="4"/>
  <c r="C444" i="4"/>
  <c r="Z459" i="4"/>
  <c r="B459" i="4"/>
  <c r="T482" i="4"/>
  <c r="T486" i="4"/>
  <c r="AA491" i="4"/>
  <c r="W492" i="4"/>
  <c r="V492" i="4"/>
  <c r="T501" i="4"/>
  <c r="C504" i="4"/>
  <c r="V522" i="4"/>
  <c r="C528" i="4"/>
  <c r="Z538" i="4"/>
  <c r="AB543" i="4"/>
  <c r="B543" i="4"/>
  <c r="C544" i="4"/>
  <c r="Z554" i="4"/>
  <c r="A562" i="4"/>
  <c r="AD572" i="4"/>
  <c r="Z585" i="4"/>
  <c r="A586" i="4"/>
  <c r="S586" i="4"/>
  <c r="V602" i="4"/>
  <c r="AB603" i="4"/>
  <c r="AA603" i="4"/>
  <c r="AA644" i="4"/>
  <c r="C644" i="4"/>
  <c r="S682" i="4"/>
  <c r="C725" i="4"/>
  <c r="AC725" i="4"/>
  <c r="T735" i="4"/>
  <c r="W743" i="4"/>
  <c r="T743" i="4"/>
  <c r="W746" i="4"/>
  <c r="C746" i="4"/>
  <c r="AA754" i="4"/>
  <c r="Z754" i="4"/>
  <c r="C754" i="4"/>
  <c r="C758" i="4"/>
  <c r="Z758" i="4"/>
  <c r="AD775" i="4"/>
  <c r="AD783" i="4"/>
  <c r="AA783" i="4"/>
  <c r="S793" i="4"/>
  <c r="C796" i="4"/>
  <c r="V809" i="4"/>
  <c r="AB820" i="4"/>
  <c r="A828" i="4"/>
  <c r="U828" i="4"/>
  <c r="S851" i="4"/>
  <c r="T851" i="4"/>
  <c r="AC861" i="4"/>
  <c r="AD861" i="4"/>
  <c r="AA751" i="4"/>
  <c r="AB793" i="4"/>
  <c r="T793" i="4"/>
  <c r="V799" i="4"/>
  <c r="T848" i="4"/>
  <c r="AB873" i="4"/>
  <c r="AB727" i="4"/>
  <c r="S755" i="4"/>
  <c r="T755" i="4"/>
  <c r="S771" i="4"/>
  <c r="T771" i="4"/>
  <c r="AA796" i="4"/>
  <c r="B796" i="4"/>
  <c r="V32" i="4"/>
  <c r="AC35" i="4"/>
  <c r="Z36" i="4"/>
  <c r="AC39" i="4"/>
  <c r="AA40" i="4"/>
  <c r="AD45" i="4"/>
  <c r="AC51" i="4"/>
  <c r="AA52" i="4"/>
  <c r="AD57" i="4"/>
  <c r="U63" i="4"/>
  <c r="Z64" i="4"/>
  <c r="AD65" i="4"/>
  <c r="U71" i="4"/>
  <c r="AD73" i="4"/>
  <c r="S77" i="4"/>
  <c r="Z84" i="4"/>
  <c r="V85" i="4"/>
  <c r="U96" i="4"/>
  <c r="AA97" i="4"/>
  <c r="T103" i="4"/>
  <c r="AA104" i="4"/>
  <c r="AD105" i="4"/>
  <c r="U116" i="4"/>
  <c r="V120" i="4"/>
  <c r="W122" i="4"/>
  <c r="AA126" i="4"/>
  <c r="T131" i="4"/>
  <c r="AC132" i="4"/>
  <c r="AD135" i="4"/>
  <c r="AA137" i="4"/>
  <c r="A142" i="4"/>
  <c r="T147" i="4"/>
  <c r="T150" i="4"/>
  <c r="AB151" i="4"/>
  <c r="U152" i="4"/>
  <c r="AD159" i="4"/>
  <c r="S160" i="4"/>
  <c r="AD161" i="4"/>
  <c r="AA174" i="4"/>
  <c r="AA176" i="4"/>
  <c r="U180" i="4"/>
  <c r="U184" i="4"/>
  <c r="AD187" i="4"/>
  <c r="S188" i="4"/>
  <c r="AC199" i="4"/>
  <c r="W200" i="4"/>
  <c r="AA202" i="4"/>
  <c r="AD203" i="4"/>
  <c r="W204" i="4"/>
  <c r="W205" i="4"/>
  <c r="C218" i="4"/>
  <c r="AB221" i="4"/>
  <c r="AB224" i="4"/>
  <c r="AC226" i="4"/>
  <c r="U234" i="4"/>
  <c r="V240" i="4"/>
  <c r="B241" i="4"/>
  <c r="V242" i="4"/>
  <c r="AD243" i="4"/>
  <c r="U246" i="4"/>
  <c r="W255" i="4"/>
  <c r="V259" i="4"/>
  <c r="AC269" i="4"/>
  <c r="AA271" i="4"/>
  <c r="V284" i="4"/>
  <c r="W287" i="4"/>
  <c r="AC291" i="4"/>
  <c r="A293" i="4"/>
  <c r="AC301" i="4"/>
  <c r="AB304" i="4"/>
  <c r="U305" i="4"/>
  <c r="AD318" i="4"/>
  <c r="AB320" i="4"/>
  <c r="W324" i="4"/>
  <c r="AC326" i="4"/>
  <c r="V338" i="4"/>
  <c r="V340" i="4"/>
  <c r="AC342" i="4"/>
  <c r="AC345" i="4"/>
  <c r="U346" i="4"/>
  <c r="W352" i="4"/>
  <c r="AB355" i="4"/>
  <c r="V359" i="4"/>
  <c r="V360" i="4"/>
  <c r="Z365" i="4"/>
  <c r="AA367" i="4"/>
  <c r="A384" i="4"/>
  <c r="AD411" i="4"/>
  <c r="V414" i="4"/>
  <c r="AD418" i="4"/>
  <c r="V444" i="4"/>
  <c r="Z460" i="4"/>
  <c r="U487" i="4"/>
  <c r="Z491" i="4"/>
  <c r="B491" i="4"/>
  <c r="AB496" i="4"/>
  <c r="AA496" i="4"/>
  <c r="A502" i="4"/>
  <c r="U502" i="4"/>
  <c r="AB522" i="4"/>
  <c r="AA523" i="4"/>
  <c r="V526" i="4"/>
  <c r="A543" i="4"/>
  <c r="T550" i="4"/>
  <c r="AB555" i="4"/>
  <c r="AA571" i="4"/>
  <c r="AC577" i="4"/>
  <c r="AB588" i="4"/>
  <c r="B588" i="4"/>
  <c r="S602" i="4"/>
  <c r="C605" i="4"/>
  <c r="AB607" i="4"/>
  <c r="AD620" i="4"/>
  <c r="AA621" i="4"/>
  <c r="AA628" i="4"/>
  <c r="C629" i="4"/>
  <c r="C631" i="4"/>
  <c r="U636" i="4"/>
  <c r="C639" i="4"/>
  <c r="U639" i="4"/>
  <c r="AA645" i="4"/>
  <c r="T651" i="4"/>
  <c r="V656" i="4"/>
  <c r="B662" i="4"/>
  <c r="B664" i="4"/>
  <c r="AD667" i="4"/>
  <c r="AB667" i="4"/>
  <c r="C677" i="4"/>
  <c r="AA684" i="4"/>
  <c r="C689" i="4"/>
  <c r="B691" i="4"/>
  <c r="AC705" i="4"/>
  <c r="U707" i="4"/>
  <c r="AC712" i="4"/>
  <c r="Z721" i="4"/>
  <c r="U733" i="4"/>
  <c r="Z741" i="4"/>
  <c r="AB752" i="4"/>
  <c r="AB756" i="4"/>
  <c r="T764" i="4"/>
  <c r="V766" i="4"/>
  <c r="Z778" i="4"/>
  <c r="Z786" i="4"/>
  <c r="AD786" i="4"/>
  <c r="C815" i="4"/>
  <c r="U837" i="4"/>
  <c r="T837" i="4"/>
  <c r="S840" i="4"/>
  <c r="AD854" i="4"/>
  <c r="C855" i="4"/>
  <c r="AD459" i="4"/>
  <c r="AA461" i="4"/>
  <c r="AD466" i="4"/>
  <c r="S467" i="4"/>
  <c r="AA473" i="4"/>
  <c r="Z479" i="4"/>
  <c r="AD482" i="4"/>
  <c r="T485" i="4"/>
  <c r="AB499" i="4"/>
  <c r="V506" i="4"/>
  <c r="B519" i="4"/>
  <c r="AC529" i="4"/>
  <c r="W549" i="4"/>
  <c r="Z566" i="4"/>
  <c r="AA573" i="4"/>
  <c r="AD582" i="4"/>
  <c r="T586" i="4"/>
  <c r="A600" i="4"/>
  <c r="Z605" i="4"/>
  <c r="C612" i="4"/>
  <c r="AA623" i="4"/>
  <c r="AC624" i="4"/>
  <c r="U632" i="4"/>
  <c r="AA632" i="4"/>
  <c r="T638" i="4"/>
  <c r="S648" i="4"/>
  <c r="B648" i="4"/>
  <c r="AD651" i="4"/>
  <c r="W654" i="4"/>
  <c r="AD656" i="4"/>
  <c r="W661" i="4"/>
  <c r="Z669" i="4"/>
  <c r="S689" i="4"/>
  <c r="A691" i="4"/>
  <c r="AB694" i="4"/>
  <c r="B711" i="4"/>
  <c r="AB714" i="4"/>
  <c r="V745" i="4"/>
  <c r="V754" i="4"/>
  <c r="T772" i="4"/>
  <c r="U777" i="4"/>
  <c r="AD782" i="4"/>
  <c r="V788" i="4"/>
  <c r="T789" i="4"/>
  <c r="U790" i="4"/>
  <c r="A790" i="4"/>
  <c r="AC796" i="4"/>
  <c r="AA816" i="4"/>
  <c r="B816" i="4"/>
  <c r="U833" i="4"/>
  <c r="AD855" i="4"/>
  <c r="V858" i="4"/>
  <c r="AB859" i="4"/>
  <c r="U865" i="4"/>
  <c r="AA866" i="4"/>
  <c r="Z693" i="4"/>
  <c r="U704" i="4"/>
  <c r="W730" i="4"/>
  <c r="AD737" i="4"/>
  <c r="B777" i="4"/>
  <c r="V793" i="4"/>
  <c r="U794" i="4"/>
  <c r="AC808" i="4"/>
  <c r="AD809" i="4"/>
  <c r="AC814" i="4"/>
  <c r="A816" i="4"/>
  <c r="V817" i="4"/>
  <c r="AA819" i="4"/>
  <c r="B821" i="4"/>
  <c r="W822" i="4"/>
  <c r="A825" i="4"/>
  <c r="W827" i="4"/>
  <c r="A832" i="4"/>
  <c r="W834" i="4"/>
  <c r="W835" i="4"/>
  <c r="U845" i="4"/>
  <c r="AB848" i="4"/>
  <c r="U850" i="4"/>
  <c r="AC862" i="4"/>
  <c r="T864" i="4"/>
  <c r="AC3" i="4"/>
  <c r="W22" i="4"/>
  <c r="A22" i="4"/>
  <c r="AC24" i="4"/>
  <c r="AA24" i="4"/>
  <c r="W74" i="4"/>
  <c r="A77" i="4"/>
  <c r="V101" i="4"/>
  <c r="A101" i="4"/>
  <c r="T101" i="4"/>
  <c r="AB123" i="4"/>
  <c r="B123" i="4"/>
  <c r="T153" i="4"/>
  <c r="S153" i="4"/>
  <c r="AD211" i="4"/>
  <c r="AC211" i="4"/>
  <c r="Z211" i="4"/>
  <c r="AC235" i="4"/>
  <c r="Z235" i="4"/>
  <c r="AA235" i="4"/>
  <c r="AB262" i="4"/>
  <c r="AD262" i="4"/>
  <c r="B262" i="4"/>
  <c r="V328" i="4"/>
  <c r="S328" i="4"/>
  <c r="U356" i="4"/>
  <c r="A356" i="4"/>
  <c r="S356" i="4"/>
  <c r="W356" i="4"/>
  <c r="T356" i="4"/>
  <c r="AB435" i="4"/>
  <c r="AC435" i="4"/>
  <c r="AD435" i="4"/>
  <c r="U610" i="4"/>
  <c r="A610" i="4"/>
  <c r="S610" i="4"/>
  <c r="T610" i="4"/>
  <c r="V610" i="4"/>
  <c r="AD759" i="4"/>
  <c r="AA759" i="4"/>
  <c r="AD811" i="4"/>
  <c r="AA811" i="4"/>
  <c r="AB818" i="4"/>
  <c r="AA818" i="4"/>
  <c r="AC818" i="4"/>
  <c r="Z818" i="4"/>
  <c r="C833" i="4"/>
  <c r="AC833" i="4"/>
  <c r="AA865" i="4"/>
  <c r="AC865" i="4"/>
  <c r="A871" i="4"/>
  <c r="V876" i="4"/>
  <c r="T876" i="4"/>
  <c r="A876" i="4"/>
  <c r="W2" i="4"/>
  <c r="A2" i="4"/>
  <c r="C16" i="4"/>
  <c r="T37" i="4"/>
  <c r="W46" i="4"/>
  <c r="AC48" i="4"/>
  <c r="AA48" i="4"/>
  <c r="S49" i="4"/>
  <c r="AC55" i="4"/>
  <c r="AA56" i="4"/>
  <c r="W58" i="4"/>
  <c r="A58" i="4"/>
  <c r="AC60" i="4"/>
  <c r="AA60" i="4"/>
  <c r="S61" i="4"/>
  <c r="AC67" i="4"/>
  <c r="B67" i="4"/>
  <c r="AA68" i="4"/>
  <c r="W70" i="4"/>
  <c r="AA73" i="4"/>
  <c r="T77" i="4"/>
  <c r="AC83" i="4"/>
  <c r="B83" i="4"/>
  <c r="AA84" i="4"/>
  <c r="AC92" i="4"/>
  <c r="AA92" i="4"/>
  <c r="AD92" i="4"/>
  <c r="W93" i="4"/>
  <c r="V109" i="4"/>
  <c r="T109" i="4"/>
  <c r="W109" i="4"/>
  <c r="A109" i="4"/>
  <c r="AC116" i="4"/>
  <c r="AA116" i="4"/>
  <c r="Z116" i="4"/>
  <c r="V121" i="4"/>
  <c r="S121" i="4"/>
  <c r="W121" i="4"/>
  <c r="T121" i="4"/>
  <c r="A121" i="4"/>
  <c r="AB127" i="4"/>
  <c r="V133" i="4"/>
  <c r="A133" i="4"/>
  <c r="T133" i="4"/>
  <c r="S133" i="4"/>
  <c r="AD145" i="4"/>
  <c r="AA145" i="4"/>
  <c r="W154" i="4"/>
  <c r="A154" i="4"/>
  <c r="T154" i="4"/>
  <c r="AB171" i="4"/>
  <c r="B171" i="4"/>
  <c r="W6" i="4"/>
  <c r="A6" i="4"/>
  <c r="W18" i="4"/>
  <c r="A18" i="4"/>
  <c r="A37" i="4"/>
  <c r="W98" i="4"/>
  <c r="AB219" i="4"/>
  <c r="AA219" i="4"/>
  <c r="AD219" i="4"/>
  <c r="Z219" i="4"/>
  <c r="V243" i="4"/>
  <c r="S243" i="4"/>
  <c r="A328" i="4"/>
  <c r="A437" i="4"/>
  <c r="T437" i="4"/>
  <c r="S437" i="4"/>
  <c r="W443" i="4"/>
  <c r="V443" i="4"/>
  <c r="A481" i="4"/>
  <c r="S481" i="4"/>
  <c r="T481" i="4"/>
  <c r="B604" i="4"/>
  <c r="AB604" i="4"/>
  <c r="AD771" i="4"/>
  <c r="AA771" i="4"/>
  <c r="AA5" i="4"/>
  <c r="AA12" i="4"/>
  <c r="W14" i="4"/>
  <c r="A14" i="4"/>
  <c r="AA17" i="4"/>
  <c r="AB19" i="4"/>
  <c r="AC19" i="4"/>
  <c r="AA21" i="4"/>
  <c r="W30" i="4"/>
  <c r="A30" i="4"/>
  <c r="AC32" i="4"/>
  <c r="AA32" i="4"/>
  <c r="S33" i="4"/>
  <c r="AC43" i="4"/>
  <c r="B43" i="4"/>
  <c r="AA44" i="4"/>
  <c r="AA49" i="4"/>
  <c r="T5" i="4"/>
  <c r="T6" i="4"/>
  <c r="AA8" i="4"/>
  <c r="W10" i="4"/>
  <c r="A10" i="4"/>
  <c r="AA13" i="4"/>
  <c r="T17" i="4"/>
  <c r="T18" i="4"/>
  <c r="T21" i="4"/>
  <c r="T22" i="4"/>
  <c r="V24" i="4"/>
  <c r="Z24" i="4"/>
  <c r="V25" i="4"/>
  <c r="A25" i="4"/>
  <c r="T25" i="4"/>
  <c r="AA25" i="4"/>
  <c r="AA29" i="4"/>
  <c r="S41" i="4"/>
  <c r="W42" i="4"/>
  <c r="A42" i="4"/>
  <c r="C44" i="4"/>
  <c r="AA45" i="4"/>
  <c r="S53" i="4"/>
  <c r="W54" i="4"/>
  <c r="A54" i="4"/>
  <c r="C56" i="4"/>
  <c r="AA57" i="4"/>
  <c r="S65" i="4"/>
  <c r="W66" i="4"/>
  <c r="C68" i="4"/>
  <c r="AA69" i="4"/>
  <c r="Z72" i="4"/>
  <c r="T74" i="4"/>
  <c r="S81" i="4"/>
  <c r="W82" i="4"/>
  <c r="A82" i="4"/>
  <c r="C84" i="4"/>
  <c r="W86" i="4"/>
  <c r="T86" i="4"/>
  <c r="A86" i="4"/>
  <c r="B87" i="4"/>
  <c r="V89" i="4"/>
  <c r="S89" i="4"/>
  <c r="A89" i="4"/>
  <c r="W89" i="4"/>
  <c r="W90" i="4"/>
  <c r="T98" i="4"/>
  <c r="S101" i="4"/>
  <c r="AD108" i="4"/>
  <c r="AA112" i="4"/>
  <c r="AD113" i="4"/>
  <c r="AA113" i="4"/>
  <c r="U140" i="4"/>
  <c r="C140" i="4"/>
  <c r="AB147" i="4"/>
  <c r="B147" i="4"/>
  <c r="W158" i="4"/>
  <c r="T158" i="4"/>
  <c r="A158" i="4"/>
  <c r="AC180" i="4"/>
  <c r="AA180" i="4"/>
  <c r="AD180" i="4"/>
  <c r="Z180" i="4"/>
  <c r="AC15" i="4"/>
  <c r="B15" i="4"/>
  <c r="U28" i="4"/>
  <c r="C28" i="4"/>
  <c r="AB95" i="4"/>
  <c r="AD109" i="4"/>
  <c r="AA109" i="4"/>
  <c r="AB274" i="4"/>
  <c r="AD274" i="4"/>
  <c r="AC274" i="4"/>
  <c r="B274" i="4"/>
  <c r="U327" i="4"/>
  <c r="W327" i="4"/>
  <c r="V327" i="4"/>
  <c r="C327" i="4"/>
  <c r="AC349" i="4"/>
  <c r="AB349" i="4"/>
  <c r="AD366" i="4"/>
  <c r="C390" i="4"/>
  <c r="C443" i="4"/>
  <c r="A607" i="4"/>
  <c r="W607" i="4"/>
  <c r="T607" i="4"/>
  <c r="AB747" i="4"/>
  <c r="AA747" i="4"/>
  <c r="W760" i="4"/>
  <c r="T760" i="4"/>
  <c r="W780" i="4"/>
  <c r="A780" i="4"/>
  <c r="T780" i="4"/>
  <c r="A794" i="4"/>
  <c r="AC875" i="4"/>
  <c r="C875" i="4"/>
  <c r="U7" i="4"/>
  <c r="Z12" i="4"/>
  <c r="U19" i="4"/>
  <c r="U20" i="4"/>
  <c r="C20" i="4"/>
  <c r="AB22" i="4"/>
  <c r="C24" i="4"/>
  <c r="AD24" i="4"/>
  <c r="Z28" i="4"/>
  <c r="V33" i="4"/>
  <c r="T33" i="4"/>
  <c r="A33" i="4"/>
  <c r="W38" i="4"/>
  <c r="A38" i="4"/>
  <c r="AC47" i="4"/>
  <c r="V49" i="4"/>
  <c r="A49" i="4"/>
  <c r="T49" i="4"/>
  <c r="W50" i="4"/>
  <c r="A50" i="4"/>
  <c r="AC59" i="4"/>
  <c r="V61" i="4"/>
  <c r="T61" i="4"/>
  <c r="AA61" i="4"/>
  <c r="AC71" i="4"/>
  <c r="AC75" i="4"/>
  <c r="B75" i="4"/>
  <c r="W78" i="4"/>
  <c r="A78" i="4"/>
  <c r="AB91" i="4"/>
  <c r="B91" i="4"/>
  <c r="S93" i="4"/>
  <c r="W101" i="4"/>
  <c r="AC104" i="4"/>
  <c r="Z104" i="4"/>
  <c r="AD104" i="4"/>
  <c r="AC119" i="4"/>
  <c r="B119" i="4"/>
  <c r="AD121" i="4"/>
  <c r="AA121" i="4"/>
  <c r="AD139" i="4"/>
  <c r="V145" i="4"/>
  <c r="S145" i="4"/>
  <c r="A145" i="4"/>
  <c r="W145" i="4"/>
  <c r="T145" i="4"/>
  <c r="AD177" i="4"/>
  <c r="AA177" i="4"/>
  <c r="AB3" i="4"/>
  <c r="AC4" i="4"/>
  <c r="AD4" i="4"/>
  <c r="V5" i="4"/>
  <c r="W5" i="4"/>
  <c r="AC8" i="4"/>
  <c r="AD8" i="4"/>
  <c r="V9" i="4"/>
  <c r="W9" i="4"/>
  <c r="U12" i="4"/>
  <c r="AB15" i="4"/>
  <c r="AC16" i="4"/>
  <c r="AD16" i="4"/>
  <c r="V17" i="4"/>
  <c r="W17" i="4"/>
  <c r="AA19" i="4"/>
  <c r="AC20" i="4"/>
  <c r="AD20" i="4"/>
  <c r="V21" i="4"/>
  <c r="W21" i="4"/>
  <c r="W26" i="4"/>
  <c r="U32" i="4"/>
  <c r="AD33" i="4"/>
  <c r="AC36" i="4"/>
  <c r="AD36" i="4"/>
  <c r="V37" i="4"/>
  <c r="W37" i="4"/>
  <c r="U40" i="4"/>
  <c r="AB43" i="4"/>
  <c r="AC44" i="4"/>
  <c r="AD44" i="4"/>
  <c r="V45" i="4"/>
  <c r="W45" i="4"/>
  <c r="B47" i="4"/>
  <c r="U52" i="4"/>
  <c r="AB55" i="4"/>
  <c r="AC56" i="4"/>
  <c r="AD56" i="4"/>
  <c r="V57" i="4"/>
  <c r="W57" i="4"/>
  <c r="B59" i="4"/>
  <c r="W62" i="4"/>
  <c r="U64" i="4"/>
  <c r="AB67" i="4"/>
  <c r="AC68" i="4"/>
  <c r="AD68" i="4"/>
  <c r="V69" i="4"/>
  <c r="W69" i="4"/>
  <c r="U72" i="4"/>
  <c r="AB75" i="4"/>
  <c r="AC76" i="4"/>
  <c r="AD76" i="4"/>
  <c r="V77" i="4"/>
  <c r="W77" i="4"/>
  <c r="B79" i="4"/>
  <c r="U80" i="4"/>
  <c r="AB83" i="4"/>
  <c r="AC84" i="4"/>
  <c r="AD84" i="4"/>
  <c r="W85" i="4"/>
  <c r="AB99" i="4"/>
  <c r="B99" i="4"/>
  <c r="U100" i="4"/>
  <c r="Z100" i="4"/>
  <c r="W102" i="4"/>
  <c r="T102" i="4"/>
  <c r="B103" i="4"/>
  <c r="AA105" i="4"/>
  <c r="W106" i="4"/>
  <c r="T107" i="4"/>
  <c r="AC108" i="4"/>
  <c r="AA108" i="4"/>
  <c r="W114" i="4"/>
  <c r="A114" i="4"/>
  <c r="T119" i="4"/>
  <c r="AC120" i="4"/>
  <c r="Z120" i="4"/>
  <c r="V125" i="4"/>
  <c r="T125" i="4"/>
  <c r="AD125" i="4"/>
  <c r="AA125" i="4"/>
  <c r="AD127" i="4"/>
  <c r="S128" i="4"/>
  <c r="AD129" i="4"/>
  <c r="AA130" i="4"/>
  <c r="AD132" i="4"/>
  <c r="AA134" i="4"/>
  <c r="U136" i="4"/>
  <c r="T139" i="4"/>
  <c r="W140" i="4"/>
  <c r="AA140" i="4"/>
  <c r="V141" i="4"/>
  <c r="S141" i="4"/>
  <c r="AB155" i="4"/>
  <c r="B155" i="4"/>
  <c r="U156" i="4"/>
  <c r="V157" i="4"/>
  <c r="A157" i="4"/>
  <c r="W157" i="4"/>
  <c r="AA169" i="4"/>
  <c r="W174" i="4"/>
  <c r="T174" i="4"/>
  <c r="A174" i="4"/>
  <c r="B175" i="4"/>
  <c r="V177" i="4"/>
  <c r="S177" i="4"/>
  <c r="W177" i="4"/>
  <c r="W178" i="4"/>
  <c r="S189" i="4"/>
  <c r="AB195" i="4"/>
  <c r="AD205" i="4"/>
  <c r="AA205" i="4"/>
  <c r="S208" i="4"/>
  <c r="T208" i="4"/>
  <c r="V208" i="4"/>
  <c r="AC217" i="4"/>
  <c r="B225" i="4"/>
  <c r="AC225" i="4"/>
  <c r="U233" i="4"/>
  <c r="U235" i="4"/>
  <c r="W235" i="4"/>
  <c r="V238" i="4"/>
  <c r="U238" i="4"/>
  <c r="U280" i="4"/>
  <c r="T280" i="4"/>
  <c r="S280" i="4"/>
  <c r="W280" i="4"/>
  <c r="U312" i="4"/>
  <c r="T312" i="4"/>
  <c r="W312" i="4"/>
  <c r="S312" i="4"/>
  <c r="A312" i="4"/>
  <c r="V315" i="4"/>
  <c r="W315" i="4"/>
  <c r="AC339" i="4"/>
  <c r="AA339" i="4"/>
  <c r="Z339" i="4"/>
  <c r="AB383" i="4"/>
  <c r="B383" i="4"/>
  <c r="AA383" i="4"/>
  <c r="A401" i="4"/>
  <c r="S401" i="4"/>
  <c r="T401" i="4"/>
  <c r="W413" i="4"/>
  <c r="U413" i="4"/>
  <c r="A461" i="4"/>
  <c r="U461" i="4"/>
  <c r="W461" i="4"/>
  <c r="Z470" i="4"/>
  <c r="AD470" i="4"/>
  <c r="AA474" i="4"/>
  <c r="AB474" i="4"/>
  <c r="Z474" i="4"/>
  <c r="T547" i="4"/>
  <c r="S547" i="4"/>
  <c r="Z164" i="4"/>
  <c r="AD165" i="4"/>
  <c r="AA165" i="4"/>
  <c r="AC172" i="4"/>
  <c r="AA172" i="4"/>
  <c r="AB179" i="4"/>
  <c r="B179" i="4"/>
  <c r="S181" i="4"/>
  <c r="T185" i="4"/>
  <c r="AC192" i="4"/>
  <c r="Z192" i="4"/>
  <c r="AD192" i="4"/>
  <c r="W202" i="4"/>
  <c r="T202" i="4"/>
  <c r="AB236" i="4"/>
  <c r="AA236" i="4"/>
  <c r="AD239" i="4"/>
  <c r="V256" i="4"/>
  <c r="T256" i="4"/>
  <c r="S256" i="4"/>
  <c r="V260" i="4"/>
  <c r="T260" i="4"/>
  <c r="S260" i="4"/>
  <c r="AB270" i="4"/>
  <c r="AC270" i="4"/>
  <c r="AD270" i="4"/>
  <c r="Z270" i="4"/>
  <c r="B270" i="4"/>
  <c r="AC307" i="4"/>
  <c r="AA307" i="4"/>
  <c r="Z307" i="4"/>
  <c r="B307" i="4"/>
  <c r="U331" i="4"/>
  <c r="W331" i="4"/>
  <c r="AB335" i="4"/>
  <c r="Z335" i="4"/>
  <c r="B335" i="4"/>
  <c r="AD335" i="4"/>
  <c r="C335" i="4"/>
  <c r="AA335" i="4"/>
  <c r="AA369" i="4"/>
  <c r="Z369" i="4"/>
  <c r="Z399" i="4"/>
  <c r="AA399" i="4"/>
  <c r="C412" i="4"/>
  <c r="Z412" i="4"/>
  <c r="U664" i="4"/>
  <c r="S664" i="4"/>
  <c r="AD675" i="4"/>
  <c r="B675" i="4"/>
  <c r="AB675" i="4"/>
  <c r="AB678" i="4"/>
  <c r="B678" i="4"/>
  <c r="U679" i="4"/>
  <c r="T679" i="4"/>
  <c r="S702" i="4"/>
  <c r="AA706" i="4"/>
  <c r="Z706" i="4"/>
  <c r="AA708" i="4"/>
  <c r="AB708" i="4"/>
  <c r="AB115" i="4"/>
  <c r="B115" i="4"/>
  <c r="W118" i="4"/>
  <c r="T118" i="4"/>
  <c r="AC124" i="4"/>
  <c r="AA124" i="4"/>
  <c r="W130" i="4"/>
  <c r="A130" i="4"/>
  <c r="W138" i="4"/>
  <c r="T138" i="4"/>
  <c r="AD140" i="4"/>
  <c r="AC148" i="4"/>
  <c r="AA148" i="4"/>
  <c r="AD148" i="4"/>
  <c r="A161" i="4"/>
  <c r="U4" i="4"/>
  <c r="U8" i="4"/>
  <c r="AB11" i="4"/>
  <c r="AC12" i="4"/>
  <c r="AD12" i="4"/>
  <c r="V13" i="4"/>
  <c r="W13" i="4"/>
  <c r="U16" i="4"/>
  <c r="U24" i="4"/>
  <c r="AD25" i="4"/>
  <c r="AB27" i="4"/>
  <c r="AC28" i="4"/>
  <c r="AD28" i="4"/>
  <c r="V29" i="4"/>
  <c r="W29" i="4"/>
  <c r="W34" i="4"/>
  <c r="U36" i="4"/>
  <c r="AB39" i="4"/>
  <c r="AC40" i="4"/>
  <c r="AD40" i="4"/>
  <c r="V41" i="4"/>
  <c r="W41" i="4"/>
  <c r="U44" i="4"/>
  <c r="AB47" i="4"/>
  <c r="AD49" i="4"/>
  <c r="AB51" i="4"/>
  <c r="AC52" i="4"/>
  <c r="AD52" i="4"/>
  <c r="V53" i="4"/>
  <c r="W53" i="4"/>
  <c r="U56" i="4"/>
  <c r="AB59" i="4"/>
  <c r="AD61" i="4"/>
  <c r="AC64" i="4"/>
  <c r="AD64" i="4"/>
  <c r="V65" i="4"/>
  <c r="W65" i="4"/>
  <c r="U68" i="4"/>
  <c r="AB71" i="4"/>
  <c r="AC72" i="4"/>
  <c r="AD72" i="4"/>
  <c r="V73" i="4"/>
  <c r="W73" i="4"/>
  <c r="U76" i="4"/>
  <c r="AB79" i="4"/>
  <c r="AC80" i="4"/>
  <c r="AD80" i="4"/>
  <c r="V81" i="4"/>
  <c r="W81" i="4"/>
  <c r="U84" i="4"/>
  <c r="T87" i="4"/>
  <c r="AC88" i="4"/>
  <c r="Z88" i="4"/>
  <c r="V93" i="4"/>
  <c r="T93" i="4"/>
  <c r="AD93" i="4"/>
  <c r="AA93" i="4"/>
  <c r="AA95" i="4"/>
  <c r="W96" i="4"/>
  <c r="AD97" i="4"/>
  <c r="AA98" i="4"/>
  <c r="AD100" i="4"/>
  <c r="AA102" i="4"/>
  <c r="V105" i="4"/>
  <c r="S105" i="4"/>
  <c r="AB111" i="4"/>
  <c r="U112" i="4"/>
  <c r="AC115" i="4"/>
  <c r="W116" i="4"/>
  <c r="V117" i="4"/>
  <c r="A117" i="4"/>
  <c r="W117" i="4"/>
  <c r="A118" i="4"/>
  <c r="AB131" i="4"/>
  <c r="B131" i="4"/>
  <c r="U132" i="4"/>
  <c r="W134" i="4"/>
  <c r="T134" i="4"/>
  <c r="AC136" i="4"/>
  <c r="AA136" i="4"/>
  <c r="W142" i="4"/>
  <c r="T142" i="4"/>
  <c r="Z152" i="4"/>
  <c r="T159" i="4"/>
  <c r="AC160" i="4"/>
  <c r="Z160" i="4"/>
  <c r="AD160" i="4"/>
  <c r="T162" i="4"/>
  <c r="V165" i="4"/>
  <c r="T165" i="4"/>
  <c r="W165" i="4"/>
  <c r="AB183" i="4"/>
  <c r="B183" i="4"/>
  <c r="AA185" i="4"/>
  <c r="W186" i="4"/>
  <c r="A186" i="4"/>
  <c r="V189" i="4"/>
  <c r="A189" i="4"/>
  <c r="T189" i="4"/>
  <c r="AB222" i="4"/>
  <c r="Z222" i="4"/>
  <c r="AD222" i="4"/>
  <c r="AC222" i="4"/>
  <c r="AB247" i="4"/>
  <c r="Z247" i="4"/>
  <c r="B247" i="4"/>
  <c r="AD247" i="4"/>
  <c r="AA247" i="4"/>
  <c r="B254" i="4"/>
  <c r="Z254" i="4"/>
  <c r="T265" i="4"/>
  <c r="U265" i="4"/>
  <c r="A265" i="4"/>
  <c r="U285" i="4"/>
  <c r="T285" i="4"/>
  <c r="A285" i="4"/>
  <c r="AC287" i="4"/>
  <c r="AA287" i="4"/>
  <c r="B305" i="4"/>
  <c r="AC305" i="4"/>
  <c r="U318" i="4"/>
  <c r="V318" i="4"/>
  <c r="AB343" i="4"/>
  <c r="AA343" i="4"/>
  <c r="AD343" i="4"/>
  <c r="Z343" i="4"/>
  <c r="B343" i="4"/>
  <c r="U380" i="4"/>
  <c r="T380" i="4"/>
  <c r="A380" i="4"/>
  <c r="AC393" i="4"/>
  <c r="C393" i="4"/>
  <c r="U404" i="4"/>
  <c r="T404" i="4"/>
  <c r="A404" i="4"/>
  <c r="V404" i="4"/>
  <c r="S404" i="4"/>
  <c r="AD452" i="4"/>
  <c r="AB452" i="4"/>
  <c r="AB511" i="4"/>
  <c r="AC511" i="4"/>
  <c r="AA511" i="4"/>
  <c r="V137" i="4"/>
  <c r="A137" i="4"/>
  <c r="W137" i="4"/>
  <c r="T143" i="4"/>
  <c r="AC144" i="4"/>
  <c r="Z144" i="4"/>
  <c r="V149" i="4"/>
  <c r="T149" i="4"/>
  <c r="AD149" i="4"/>
  <c r="AA149" i="4"/>
  <c r="AC151" i="4"/>
  <c r="V152" i="4"/>
  <c r="AD153" i="4"/>
  <c r="AA154" i="4"/>
  <c r="AD156" i="4"/>
  <c r="AA158" i="4"/>
  <c r="V161" i="4"/>
  <c r="S161" i="4"/>
  <c r="AB167" i="4"/>
  <c r="U168" i="4"/>
  <c r="AC171" i="4"/>
  <c r="W172" i="4"/>
  <c r="V173" i="4"/>
  <c r="A173" i="4"/>
  <c r="W173" i="4"/>
  <c r="AB187" i="4"/>
  <c r="U188" i="4"/>
  <c r="Z188" i="4"/>
  <c r="W190" i="4"/>
  <c r="T190" i="4"/>
  <c r="B191" i="4"/>
  <c r="AA197" i="4"/>
  <c r="AB199" i="4"/>
  <c r="U200" i="4"/>
  <c r="Z200" i="4"/>
  <c r="V205" i="4"/>
  <c r="T205" i="4"/>
  <c r="S205" i="4"/>
  <c r="U212" i="4"/>
  <c r="A212" i="4"/>
  <c r="U216" i="4"/>
  <c r="A216" i="4"/>
  <c r="S216" i="4"/>
  <c r="A217" i="4"/>
  <c r="T217" i="4"/>
  <c r="T221" i="4"/>
  <c r="AC223" i="4"/>
  <c r="Z223" i="4"/>
  <c r="U227" i="4"/>
  <c r="C227" i="4"/>
  <c r="W227" i="4"/>
  <c r="C231" i="4"/>
  <c r="U240" i="4"/>
  <c r="T240" i="4"/>
  <c r="W240" i="4"/>
  <c r="AC241" i="4"/>
  <c r="AC246" i="4"/>
  <c r="B246" i="4"/>
  <c r="U247" i="4"/>
  <c r="C247" i="4"/>
  <c r="V247" i="4"/>
  <c r="U252" i="4"/>
  <c r="S252" i="4"/>
  <c r="W252" i="4"/>
  <c r="T252" i="4"/>
  <c r="V254" i="4"/>
  <c r="U254" i="4"/>
  <c r="AB256" i="4"/>
  <c r="A257" i="4"/>
  <c r="U257" i="4"/>
  <c r="U272" i="4"/>
  <c r="A272" i="4"/>
  <c r="T272" i="4"/>
  <c r="S272" i="4"/>
  <c r="U292" i="4"/>
  <c r="T292" i="4"/>
  <c r="S292" i="4"/>
  <c r="A292" i="4"/>
  <c r="AB295" i="4"/>
  <c r="AA295" i="4"/>
  <c r="Z295" i="4"/>
  <c r="U300" i="4"/>
  <c r="A300" i="4"/>
  <c r="T300" i="4"/>
  <c r="S300" i="4"/>
  <c r="AB302" i="4"/>
  <c r="Z302" i="4"/>
  <c r="AC302" i="4"/>
  <c r="B302" i="4"/>
  <c r="V308" i="4"/>
  <c r="T308" i="4"/>
  <c r="V312" i="4"/>
  <c r="AB323" i="4"/>
  <c r="Z323" i="4"/>
  <c r="C330" i="4"/>
  <c r="V331" i="4"/>
  <c r="AC333" i="4"/>
  <c r="AB333" i="4"/>
  <c r="AC335" i="4"/>
  <c r="W336" i="4"/>
  <c r="AC343" i="4"/>
  <c r="W344" i="4"/>
  <c r="U345" i="4"/>
  <c r="T345" i="4"/>
  <c r="A345" i="4"/>
  <c r="U351" i="4"/>
  <c r="C351" i="4"/>
  <c r="S351" i="4"/>
  <c r="AB359" i="4"/>
  <c r="AA359" i="4"/>
  <c r="Z359" i="4"/>
  <c r="AA360" i="4"/>
  <c r="AB360" i="4"/>
  <c r="AC361" i="4"/>
  <c r="AB361" i="4"/>
  <c r="U366" i="4"/>
  <c r="S366" i="4"/>
  <c r="T366" i="4"/>
  <c r="A366" i="4"/>
  <c r="AD369" i="4"/>
  <c r="AA371" i="4"/>
  <c r="AB371" i="4"/>
  <c r="B371" i="4"/>
  <c r="W383" i="4"/>
  <c r="AC386" i="4"/>
  <c r="Z386" i="4"/>
  <c r="AD386" i="4"/>
  <c r="AA386" i="4"/>
  <c r="C386" i="4"/>
  <c r="W399" i="4"/>
  <c r="S399" i="4"/>
  <c r="C399" i="4"/>
  <c r="S403" i="4"/>
  <c r="U403" i="4"/>
  <c r="Z407" i="4"/>
  <c r="AD407" i="4"/>
  <c r="Z410" i="4"/>
  <c r="W412" i="4"/>
  <c r="V412" i="4"/>
  <c r="U420" i="4"/>
  <c r="S420" i="4"/>
  <c r="V420" i="4"/>
  <c r="T420" i="4"/>
  <c r="A420" i="4"/>
  <c r="AA426" i="4"/>
  <c r="AB426" i="4"/>
  <c r="Z426" i="4"/>
  <c r="C428" i="4"/>
  <c r="Z439" i="4"/>
  <c r="AD439" i="4"/>
  <c r="AB446" i="4"/>
  <c r="B446" i="4"/>
  <c r="C446" i="4"/>
  <c r="AC446" i="4"/>
  <c r="AA458" i="4"/>
  <c r="Z458" i="4"/>
  <c r="AB458" i="4"/>
  <c r="W465" i="4"/>
  <c r="U468" i="4"/>
  <c r="A468" i="4"/>
  <c r="S468" i="4"/>
  <c r="T468" i="4"/>
  <c r="AA476" i="4"/>
  <c r="Z476" i="4"/>
  <c r="AA477" i="4"/>
  <c r="B477" i="4"/>
  <c r="AB477" i="4"/>
  <c r="U484" i="4"/>
  <c r="A484" i="4"/>
  <c r="T484" i="4"/>
  <c r="V484" i="4"/>
  <c r="S484" i="4"/>
  <c r="S488" i="4"/>
  <c r="A488" i="4"/>
  <c r="AD553" i="4"/>
  <c r="Z553" i="4"/>
  <c r="AA553" i="4"/>
  <c r="Z557" i="4"/>
  <c r="AA557" i="4"/>
  <c r="S582" i="4"/>
  <c r="T582" i="4"/>
  <c r="AB587" i="4"/>
  <c r="AA587" i="4"/>
  <c r="AB591" i="4"/>
  <c r="Z598" i="4"/>
  <c r="AD598" i="4"/>
  <c r="AA598" i="4"/>
  <c r="AD601" i="4"/>
  <c r="AA601" i="4"/>
  <c r="B601" i="4"/>
  <c r="Z601" i="4"/>
  <c r="AB640" i="4"/>
  <c r="Z640" i="4"/>
  <c r="AA640" i="4"/>
  <c r="AC640" i="4"/>
  <c r="AB659" i="4"/>
  <c r="B659" i="4"/>
  <c r="T700" i="4"/>
  <c r="U700" i="4"/>
  <c r="A700" i="4"/>
  <c r="U722" i="4"/>
  <c r="V722" i="4"/>
  <c r="C722" i="4"/>
  <c r="U734" i="4"/>
  <c r="V734" i="4"/>
  <c r="C734" i="4"/>
  <c r="T734" i="4"/>
  <c r="A734" i="4"/>
  <c r="Z738" i="4"/>
  <c r="AA738" i="4"/>
  <c r="AB745" i="4"/>
  <c r="AD745" i="4"/>
  <c r="AC745" i="4"/>
  <c r="AC750" i="4"/>
  <c r="AA750" i="4"/>
  <c r="C750" i="4"/>
  <c r="Z750" i="4"/>
  <c r="AD750" i="4"/>
  <c r="AC803" i="4"/>
  <c r="AD803" i="4"/>
  <c r="C803" i="4"/>
  <c r="Z803" i="4"/>
  <c r="V201" i="4"/>
  <c r="S201" i="4"/>
  <c r="C210" i="4"/>
  <c r="A210" i="4"/>
  <c r="AC214" i="4"/>
  <c r="B214" i="4"/>
  <c r="U215" i="4"/>
  <c r="C215" i="4"/>
  <c r="AB215" i="4"/>
  <c r="B215" i="4"/>
  <c r="AD215" i="4"/>
  <c r="U222" i="4"/>
  <c r="V222" i="4"/>
  <c r="A225" i="4"/>
  <c r="U225" i="4"/>
  <c r="AB230" i="4"/>
  <c r="B230" i="4"/>
  <c r="U232" i="4"/>
  <c r="S232" i="4"/>
  <c r="T232" i="4"/>
  <c r="V236" i="4"/>
  <c r="T236" i="4"/>
  <c r="U248" i="4"/>
  <c r="A248" i="4"/>
  <c r="T248" i="4"/>
  <c r="S248" i="4"/>
  <c r="AB258" i="4"/>
  <c r="AD258" i="4"/>
  <c r="AC258" i="4"/>
  <c r="U263" i="4"/>
  <c r="V263" i="4"/>
  <c r="W263" i="4"/>
  <c r="U268" i="4"/>
  <c r="S268" i="4"/>
  <c r="T268" i="4"/>
  <c r="A268" i="4"/>
  <c r="V270" i="4"/>
  <c r="U270" i="4"/>
  <c r="U275" i="4"/>
  <c r="V275" i="4"/>
  <c r="S275" i="4"/>
  <c r="AB279" i="4"/>
  <c r="Z279" i="4"/>
  <c r="B279" i="4"/>
  <c r="AD282" i="4"/>
  <c r="C282" i="4"/>
  <c r="AC285" i="4"/>
  <c r="AB285" i="4"/>
  <c r="Z290" i="4"/>
  <c r="AD290" i="4"/>
  <c r="AB296" i="4"/>
  <c r="AA296" i="4"/>
  <c r="AB311" i="4"/>
  <c r="AA311" i="4"/>
  <c r="Z311" i="4"/>
  <c r="C311" i="4"/>
  <c r="U313" i="4"/>
  <c r="T313" i="4"/>
  <c r="AC319" i="4"/>
  <c r="AA319" i="4"/>
  <c r="B319" i="4"/>
  <c r="Z319" i="4"/>
  <c r="U323" i="4"/>
  <c r="S323" i="4"/>
  <c r="V323" i="4"/>
  <c r="C323" i="4"/>
  <c r="AB327" i="4"/>
  <c r="AA327" i="4"/>
  <c r="AD327" i="4"/>
  <c r="Z327" i="4"/>
  <c r="U343" i="4"/>
  <c r="W343" i="4"/>
  <c r="V343" i="4"/>
  <c r="C343" i="4"/>
  <c r="AC347" i="4"/>
  <c r="AA347" i="4"/>
  <c r="U349" i="4"/>
  <c r="T349" i="4"/>
  <c r="AC354" i="4"/>
  <c r="AD354" i="4"/>
  <c r="A357" i="4"/>
  <c r="U357" i="4"/>
  <c r="T357" i="4"/>
  <c r="W369" i="4"/>
  <c r="V369" i="4"/>
  <c r="W374" i="4"/>
  <c r="S374" i="4"/>
  <c r="AD381" i="4"/>
  <c r="U393" i="4"/>
  <c r="V393" i="4"/>
  <c r="T405" i="4"/>
  <c r="S405" i="4"/>
  <c r="AB413" i="4"/>
  <c r="AA413" i="4"/>
  <c r="B413" i="4"/>
  <c r="W429" i="4"/>
  <c r="U429" i="4"/>
  <c r="AB431" i="4"/>
  <c r="AA431" i="4"/>
  <c r="AC431" i="4"/>
  <c r="AA445" i="4"/>
  <c r="AB445" i="4"/>
  <c r="V455" i="4"/>
  <c r="U455" i="4"/>
  <c r="AB463" i="4"/>
  <c r="AC463" i="4"/>
  <c r="AA463" i="4"/>
  <c r="S465" i="4"/>
  <c r="T465" i="4"/>
  <c r="Z471" i="4"/>
  <c r="AA471" i="4"/>
  <c r="AD471" i="4"/>
  <c r="AA472" i="4"/>
  <c r="Z472" i="4"/>
  <c r="AA490" i="4"/>
  <c r="Z490" i="4"/>
  <c r="AB490" i="4"/>
  <c r="AD498" i="4"/>
  <c r="AC498" i="4"/>
  <c r="S499" i="4"/>
  <c r="U499" i="4"/>
  <c r="AC521" i="4"/>
  <c r="AA521" i="4"/>
  <c r="B521" i="4"/>
  <c r="T524" i="4"/>
  <c r="V529" i="4"/>
  <c r="W529" i="4"/>
  <c r="S529" i="4"/>
  <c r="C534" i="4"/>
  <c r="T534" i="4"/>
  <c r="A536" i="4"/>
  <c r="U536" i="4"/>
  <c r="U571" i="4"/>
  <c r="A571" i="4"/>
  <c r="W581" i="4"/>
  <c r="U581" i="4"/>
  <c r="U584" i="4"/>
  <c r="AB593" i="4"/>
  <c r="AC593" i="4"/>
  <c r="Z593" i="4"/>
  <c r="W617" i="4"/>
  <c r="T617" i="4"/>
  <c r="S617" i="4"/>
  <c r="W633" i="4"/>
  <c r="V633" i="4"/>
  <c r="U657" i="4"/>
  <c r="V657" i="4"/>
  <c r="A657" i="4"/>
  <c r="S657" i="4"/>
  <c r="AD659" i="4"/>
  <c r="T695" i="4"/>
  <c r="S695" i="4"/>
  <c r="W695" i="4"/>
  <c r="U718" i="4"/>
  <c r="T718" i="4"/>
  <c r="V718" i="4"/>
  <c r="C718" i="4"/>
  <c r="A718" i="4"/>
  <c r="AA720" i="4"/>
  <c r="Z720" i="4"/>
  <c r="AB720" i="4"/>
  <c r="A722" i="4"/>
  <c r="AA723" i="4"/>
  <c r="B723" i="4"/>
  <c r="AB723" i="4"/>
  <c r="T732" i="4"/>
  <c r="U732" i="4"/>
  <c r="W162" i="4"/>
  <c r="T163" i="4"/>
  <c r="AC164" i="4"/>
  <c r="AA164" i="4"/>
  <c r="W170" i="4"/>
  <c r="A170" i="4"/>
  <c r="T175" i="4"/>
  <c r="AC176" i="4"/>
  <c r="Z176" i="4"/>
  <c r="V181" i="4"/>
  <c r="T181" i="4"/>
  <c r="AD181" i="4"/>
  <c r="AA181" i="4"/>
  <c r="AD183" i="4"/>
  <c r="S184" i="4"/>
  <c r="AD185" i="4"/>
  <c r="AA186" i="4"/>
  <c r="AD188" i="4"/>
  <c r="AA190" i="4"/>
  <c r="V193" i="4"/>
  <c r="S193" i="4"/>
  <c r="AD193" i="4"/>
  <c r="AA193" i="4"/>
  <c r="AD195" i="4"/>
  <c r="S196" i="4"/>
  <c r="AD200" i="4"/>
  <c r="AD207" i="4"/>
  <c r="AD214" i="4"/>
  <c r="V219" i="4"/>
  <c r="W219" i="4"/>
  <c r="V224" i="4"/>
  <c r="T224" i="4"/>
  <c r="AC227" i="4"/>
  <c r="B227" i="4"/>
  <c r="AB231" i="4"/>
  <c r="Z231" i="4"/>
  <c r="B231" i="4"/>
  <c r="A232" i="4"/>
  <c r="V232" i="4"/>
  <c r="T233" i="4"/>
  <c r="S236" i="4"/>
  <c r="AB238" i="4"/>
  <c r="B238" i="4"/>
  <c r="AC238" i="4"/>
  <c r="AB239" i="4"/>
  <c r="AA239" i="4"/>
  <c r="B239" i="4"/>
  <c r="Z239" i="4"/>
  <c r="S240" i="4"/>
  <c r="Z242" i="4"/>
  <c r="AD242" i="4"/>
  <c r="AC242" i="4"/>
  <c r="AB251" i="4"/>
  <c r="Z251" i="4"/>
  <c r="AA251" i="4"/>
  <c r="AB252" i="4"/>
  <c r="AA252" i="4"/>
  <c r="AD254" i="4"/>
  <c r="AC257" i="4"/>
  <c r="AC259" i="4"/>
  <c r="AA259" i="4"/>
  <c r="Z259" i="4"/>
  <c r="C263" i="4"/>
  <c r="S263" i="4"/>
  <c r="AC265" i="4"/>
  <c r="T269" i="4"/>
  <c r="U269" i="4"/>
  <c r="AB271" i="4"/>
  <c r="Z271" i="4"/>
  <c r="C275" i="4"/>
  <c r="W275" i="4"/>
  <c r="AC278" i="4"/>
  <c r="U279" i="4"/>
  <c r="C279" i="4"/>
  <c r="V279" i="4"/>
  <c r="AB283" i="4"/>
  <c r="AA283" i="4"/>
  <c r="AD283" i="4"/>
  <c r="C283" i="4"/>
  <c r="Z283" i="4"/>
  <c r="B283" i="4"/>
  <c r="AD287" i="4"/>
  <c r="C290" i="4"/>
  <c r="V290" i="4"/>
  <c r="AC290" i="4"/>
  <c r="U295" i="4"/>
  <c r="C295" i="4"/>
  <c r="W295" i="4"/>
  <c r="V295" i="4"/>
  <c r="AB299" i="4"/>
  <c r="B299" i="4"/>
  <c r="Z299" i="4"/>
  <c r="C299" i="4"/>
  <c r="U304" i="4"/>
  <c r="T304" i="4"/>
  <c r="S304" i="4"/>
  <c r="A304" i="4"/>
  <c r="AB306" i="4"/>
  <c r="AD306" i="4"/>
  <c r="AC306" i="4"/>
  <c r="AB310" i="4"/>
  <c r="AD310" i="4"/>
  <c r="A317" i="4"/>
  <c r="T317" i="4"/>
  <c r="V320" i="4"/>
  <c r="T320" i="4"/>
  <c r="U324" i="4"/>
  <c r="A324" i="4"/>
  <c r="T324" i="4"/>
  <c r="S324" i="4"/>
  <c r="B326" i="4"/>
  <c r="AC327" i="4"/>
  <c r="W328" i="4"/>
  <c r="U329" i="4"/>
  <c r="T329" i="4"/>
  <c r="AC331" i="4"/>
  <c r="AA331" i="4"/>
  <c r="U333" i="4"/>
  <c r="T333" i="4"/>
  <c r="T336" i="4"/>
  <c r="S344" i="4"/>
  <c r="B347" i="4"/>
  <c r="U347" i="4"/>
  <c r="W347" i="4"/>
  <c r="Z347" i="4"/>
  <c r="U360" i="4"/>
  <c r="T360" i="4"/>
  <c r="W360" i="4"/>
  <c r="S360" i="4"/>
  <c r="Z362" i="4"/>
  <c r="U368" i="4"/>
  <c r="V368" i="4"/>
  <c r="AB368" i="4"/>
  <c r="V370" i="4"/>
  <c r="AB372" i="4"/>
  <c r="AC372" i="4"/>
  <c r="C380" i="4"/>
  <c r="C385" i="4"/>
  <c r="V385" i="4"/>
  <c r="U385" i="4"/>
  <c r="AB391" i="4"/>
  <c r="AA391" i="4"/>
  <c r="A396" i="4"/>
  <c r="S408" i="4"/>
  <c r="A408" i="4"/>
  <c r="T409" i="4"/>
  <c r="U409" i="4"/>
  <c r="A409" i="4"/>
  <c r="U419" i="4"/>
  <c r="S419" i="4"/>
  <c r="U422" i="4"/>
  <c r="A422" i="4"/>
  <c r="T422" i="4"/>
  <c r="Z424" i="4"/>
  <c r="AA424" i="4"/>
  <c r="AA427" i="4"/>
  <c r="Z427" i="4"/>
  <c r="Z438" i="4"/>
  <c r="AD438" i="4"/>
  <c r="A454" i="4"/>
  <c r="T454" i="4"/>
  <c r="U476" i="4"/>
  <c r="C476" i="4"/>
  <c r="W476" i="4"/>
  <c r="V476" i="4"/>
  <c r="A476" i="4"/>
  <c r="W481" i="4"/>
  <c r="Z487" i="4"/>
  <c r="AD487" i="4"/>
  <c r="B487" i="4"/>
  <c r="S504" i="4"/>
  <c r="A504" i="4"/>
  <c r="C510" i="4"/>
  <c r="V510" i="4"/>
  <c r="S513" i="4"/>
  <c r="W513" i="4"/>
  <c r="T513" i="4"/>
  <c r="U523" i="4"/>
  <c r="S523" i="4"/>
  <c r="W525" i="4"/>
  <c r="S525" i="4"/>
  <c r="T559" i="4"/>
  <c r="W559" i="4"/>
  <c r="S559" i="4"/>
  <c r="A559" i="4"/>
  <c r="A575" i="4"/>
  <c r="W575" i="4"/>
  <c r="U603" i="4"/>
  <c r="C606" i="4"/>
  <c r="W606" i="4"/>
  <c r="AB613" i="4"/>
  <c r="AA613" i="4"/>
  <c r="AA622" i="4"/>
  <c r="AB622" i="4"/>
  <c r="B622" i="4"/>
  <c r="A630" i="4"/>
  <c r="T630" i="4"/>
  <c r="S630" i="4"/>
  <c r="W649" i="4"/>
  <c r="T649" i="4"/>
  <c r="W676" i="4"/>
  <c r="C676" i="4"/>
  <c r="U681" i="4"/>
  <c r="C681" i="4"/>
  <c r="V681" i="4"/>
  <c r="W681" i="4"/>
  <c r="S681" i="4"/>
  <c r="V686" i="4"/>
  <c r="T686" i="4"/>
  <c r="S686" i="4"/>
  <c r="W686" i="4"/>
  <c r="A686" i="4"/>
  <c r="S711" i="4"/>
  <c r="W711" i="4"/>
  <c r="T711" i="4"/>
  <c r="A711" i="4"/>
  <c r="AD85" i="4"/>
  <c r="AB87" i="4"/>
  <c r="U88" i="4"/>
  <c r="AA90" i="4"/>
  <c r="AC91" i="4"/>
  <c r="W92" i="4"/>
  <c r="W94" i="4"/>
  <c r="T95" i="4"/>
  <c r="AC96" i="4"/>
  <c r="AD96" i="4"/>
  <c r="V97" i="4"/>
  <c r="W97" i="4"/>
  <c r="AD101" i="4"/>
  <c r="AB103" i="4"/>
  <c r="U104" i="4"/>
  <c r="AA106" i="4"/>
  <c r="AD107" i="4"/>
  <c r="W108" i="4"/>
  <c r="W110" i="4"/>
  <c r="T111" i="4"/>
  <c r="AC112" i="4"/>
  <c r="AD112" i="4"/>
  <c r="V113" i="4"/>
  <c r="W113" i="4"/>
  <c r="AD117" i="4"/>
  <c r="AB119" i="4"/>
  <c r="U120" i="4"/>
  <c r="AA122" i="4"/>
  <c r="AD123" i="4"/>
  <c r="S124" i="4"/>
  <c r="W126" i="4"/>
  <c r="T127" i="4"/>
  <c r="AC128" i="4"/>
  <c r="AD128" i="4"/>
  <c r="V129" i="4"/>
  <c r="W129" i="4"/>
  <c r="AD133" i="4"/>
  <c r="AB135" i="4"/>
  <c r="AD137" i="4"/>
  <c r="AB139" i="4"/>
  <c r="AD141" i="4"/>
  <c r="AB143" i="4"/>
  <c r="U144" i="4"/>
  <c r="AA146" i="4"/>
  <c r="AA147" i="4"/>
  <c r="W148" i="4"/>
  <c r="W150" i="4"/>
  <c r="T151" i="4"/>
  <c r="AC152" i="4"/>
  <c r="AD152" i="4"/>
  <c r="V153" i="4"/>
  <c r="W153" i="4"/>
  <c r="AD157" i="4"/>
  <c r="AB159" i="4"/>
  <c r="U160" i="4"/>
  <c r="AA162" i="4"/>
  <c r="AD163" i="4"/>
  <c r="W164" i="4"/>
  <c r="W166" i="4"/>
  <c r="T167" i="4"/>
  <c r="AC168" i="4"/>
  <c r="AD168" i="4"/>
  <c r="V169" i="4"/>
  <c r="W169" i="4"/>
  <c r="AD173" i="4"/>
  <c r="AB175" i="4"/>
  <c r="U176" i="4"/>
  <c r="AA178" i="4"/>
  <c r="AC179" i="4"/>
  <c r="V180" i="4"/>
  <c r="W182" i="4"/>
  <c r="T183" i="4"/>
  <c r="AC184" i="4"/>
  <c r="AD184" i="4"/>
  <c r="V185" i="4"/>
  <c r="W185" i="4"/>
  <c r="AD189" i="4"/>
  <c r="AB191" i="4"/>
  <c r="U192" i="4"/>
  <c r="W198" i="4"/>
  <c r="A198" i="4"/>
  <c r="T203" i="4"/>
  <c r="AC204" i="4"/>
  <c r="Z204" i="4"/>
  <c r="AB209" i="4"/>
  <c r="AB211" i="4"/>
  <c r="AA211" i="4"/>
  <c r="B211" i="4"/>
  <c r="T212" i="4"/>
  <c r="V218" i="4"/>
  <c r="U220" i="4"/>
  <c r="A220" i="4"/>
  <c r="W220" i="4"/>
  <c r="AB226" i="4"/>
  <c r="Z226" i="4"/>
  <c r="U231" i="4"/>
  <c r="V231" i="4"/>
  <c r="AC231" i="4"/>
  <c r="V235" i="4"/>
  <c r="U244" i="4"/>
  <c r="T244" i="4"/>
  <c r="T245" i="4"/>
  <c r="U249" i="4"/>
  <c r="AD250" i="4"/>
  <c r="U251" i="4"/>
  <c r="C251" i="4"/>
  <c r="AC251" i="4"/>
  <c r="AB253" i="4"/>
  <c r="U264" i="4"/>
  <c r="S264" i="4"/>
  <c r="AB267" i="4"/>
  <c r="Z267" i="4"/>
  <c r="V268" i="4"/>
  <c r="A273" i="4"/>
  <c r="Z274" i="4"/>
  <c r="U276" i="4"/>
  <c r="T276" i="4"/>
  <c r="U281" i="4"/>
  <c r="AB281" i="4"/>
  <c r="U283" i="4"/>
  <c r="W283" i="4"/>
  <c r="B287" i="4"/>
  <c r="U288" i="4"/>
  <c r="S288" i="4"/>
  <c r="AB291" i="4"/>
  <c r="AA291" i="4"/>
  <c r="V292" i="4"/>
  <c r="AD298" i="4"/>
  <c r="U301" i="4"/>
  <c r="U302" i="4"/>
  <c r="AB303" i="4"/>
  <c r="AA303" i="4"/>
  <c r="V304" i="4"/>
  <c r="U311" i="4"/>
  <c r="W311" i="4"/>
  <c r="AC311" i="4"/>
  <c r="AA312" i="4"/>
  <c r="U316" i="4"/>
  <c r="A316" i="4"/>
  <c r="W316" i="4"/>
  <c r="AB322" i="4"/>
  <c r="AC322" i="4"/>
  <c r="S327" i="4"/>
  <c r="U330" i="4"/>
  <c r="AB332" i="4"/>
  <c r="AB334" i="4"/>
  <c r="AD334" i="4"/>
  <c r="AD338" i="4"/>
  <c r="U339" i="4"/>
  <c r="C339" i="4"/>
  <c r="W339" i="4"/>
  <c r="T341" i="4"/>
  <c r="S343" i="4"/>
  <c r="AB348" i="4"/>
  <c r="AB350" i="4"/>
  <c r="AD350" i="4"/>
  <c r="U354" i="4"/>
  <c r="U355" i="4"/>
  <c r="C355" i="4"/>
  <c r="AD355" i="4"/>
  <c r="AC359" i="4"/>
  <c r="U361" i="4"/>
  <c r="W363" i="4"/>
  <c r="AB364" i="4"/>
  <c r="AD364" i="4"/>
  <c r="W366" i="4"/>
  <c r="AA370" i="4"/>
  <c r="U371" i="4"/>
  <c r="AB373" i="4"/>
  <c r="Z373" i="4"/>
  <c r="W379" i="4"/>
  <c r="U382" i="4"/>
  <c r="T382" i="4"/>
  <c r="AA382" i="4"/>
  <c r="AD382" i="4"/>
  <c r="U399" i="4"/>
  <c r="AC401" i="4"/>
  <c r="AB401" i="4"/>
  <c r="AB411" i="4"/>
  <c r="AA411" i="4"/>
  <c r="B411" i="4"/>
  <c r="Z411" i="4"/>
  <c r="W417" i="4"/>
  <c r="W420" i="4"/>
  <c r="U424" i="4"/>
  <c r="C424" i="4"/>
  <c r="T424" i="4"/>
  <c r="B429" i="4"/>
  <c r="S431" i="4"/>
  <c r="Z431" i="4"/>
  <c r="C434" i="4"/>
  <c r="U436" i="4"/>
  <c r="T436" i="4"/>
  <c r="V436" i="4"/>
  <c r="W445" i="4"/>
  <c r="U445" i="4"/>
  <c r="T449" i="4"/>
  <c r="S449" i="4"/>
  <c r="AB451" i="4"/>
  <c r="AD451" i="4"/>
  <c r="T453" i="4"/>
  <c r="A453" i="4"/>
  <c r="AC462" i="4"/>
  <c r="C463" i="4"/>
  <c r="U472" i="4"/>
  <c r="C472" i="4"/>
  <c r="V472" i="4"/>
  <c r="S483" i="4"/>
  <c r="U483" i="4"/>
  <c r="S485" i="4"/>
  <c r="U505" i="4"/>
  <c r="T505" i="4"/>
  <c r="AA509" i="4"/>
  <c r="B509" i="4"/>
  <c r="Z511" i="4"/>
  <c r="AB516" i="4"/>
  <c r="Z516" i="4"/>
  <c r="U520" i="4"/>
  <c r="A520" i="4"/>
  <c r="V520" i="4"/>
  <c r="W521" i="4"/>
  <c r="U521" i="4"/>
  <c r="AD532" i="4"/>
  <c r="AD537" i="4"/>
  <c r="AA537" i="4"/>
  <c r="Z537" i="4"/>
  <c r="B537" i="4"/>
  <c r="AA541" i="4"/>
  <c r="C542" i="4"/>
  <c r="W542" i="4"/>
  <c r="W557" i="4"/>
  <c r="C557" i="4"/>
  <c r="U565" i="4"/>
  <c r="T567" i="4"/>
  <c r="W567" i="4"/>
  <c r="A567" i="4"/>
  <c r="A568" i="4"/>
  <c r="U568" i="4"/>
  <c r="T570" i="4"/>
  <c r="V570" i="4"/>
  <c r="S570" i="4"/>
  <c r="T591" i="4"/>
  <c r="W591" i="4"/>
  <c r="S591" i="4"/>
  <c r="V601" i="4"/>
  <c r="AA609" i="4"/>
  <c r="AC609" i="4"/>
  <c r="B609" i="4"/>
  <c r="Z609" i="4"/>
  <c r="W621" i="4"/>
  <c r="W622" i="4"/>
  <c r="T622" i="4"/>
  <c r="AA625" i="4"/>
  <c r="Z625" i="4"/>
  <c r="W636" i="4"/>
  <c r="AA637" i="4"/>
  <c r="Z637" i="4"/>
  <c r="AD637" i="4"/>
  <c r="U655" i="4"/>
  <c r="C655" i="4"/>
  <c r="A655" i="4"/>
  <c r="W665" i="4"/>
  <c r="S665" i="4"/>
  <c r="T665" i="4"/>
  <c r="S693" i="4"/>
  <c r="C693" i="4"/>
  <c r="W693" i="4"/>
  <c r="U717" i="4"/>
  <c r="AB729" i="4"/>
  <c r="AC729" i="4"/>
  <c r="U738" i="4"/>
  <c r="C738" i="4"/>
  <c r="V738" i="4"/>
  <c r="A738" i="4"/>
  <c r="U800" i="4"/>
  <c r="C800" i="4"/>
  <c r="V800" i="4"/>
  <c r="S800" i="4"/>
  <c r="W800" i="4"/>
  <c r="AD858" i="4"/>
  <c r="Z858" i="4"/>
  <c r="U859" i="4"/>
  <c r="T859" i="4"/>
  <c r="S859" i="4"/>
  <c r="C859" i="4"/>
  <c r="W859" i="4"/>
  <c r="A859" i="4"/>
  <c r="AB243" i="4"/>
  <c r="AA243" i="4"/>
  <c r="B243" i="4"/>
  <c r="T253" i="4"/>
  <c r="AB254" i="4"/>
  <c r="AC254" i="4"/>
  <c r="U259" i="4"/>
  <c r="C259" i="4"/>
  <c r="W259" i="4"/>
  <c r="U262" i="4"/>
  <c r="AB263" i="4"/>
  <c r="Z263" i="4"/>
  <c r="U267" i="4"/>
  <c r="C267" i="4"/>
  <c r="AB269" i="4"/>
  <c r="C274" i="4"/>
  <c r="V274" i="4"/>
  <c r="AB275" i="4"/>
  <c r="AA275" i="4"/>
  <c r="U284" i="4"/>
  <c r="T284" i="4"/>
  <c r="AA284" i="4"/>
  <c r="AB287" i="4"/>
  <c r="Z287" i="4"/>
  <c r="AB293" i="4"/>
  <c r="U296" i="4"/>
  <c r="W296" i="4"/>
  <c r="U307" i="4"/>
  <c r="C307" i="4"/>
  <c r="W307" i="4"/>
  <c r="AB315" i="4"/>
  <c r="B315" i="4"/>
  <c r="AD315" i="4"/>
  <c r="AB318" i="4"/>
  <c r="Z318" i="4"/>
  <c r="AB326" i="4"/>
  <c r="AD326" i="4"/>
  <c r="U328" i="4"/>
  <c r="T328" i="4"/>
  <c r="AA328" i="4"/>
  <c r="U336" i="4"/>
  <c r="S336" i="4"/>
  <c r="AB342" i="4"/>
  <c r="AD342" i="4"/>
  <c r="U344" i="4"/>
  <c r="T344" i="4"/>
  <c r="AA344" i="4"/>
  <c r="U352" i="4"/>
  <c r="T352" i="4"/>
  <c r="AA352" i="4"/>
  <c r="T353" i="4"/>
  <c r="A353" i="4"/>
  <c r="U359" i="4"/>
  <c r="W359" i="4"/>
  <c r="T364" i="4"/>
  <c r="C364" i="4"/>
  <c r="Z368" i="4"/>
  <c r="U370" i="4"/>
  <c r="W370" i="4"/>
  <c r="U373" i="4"/>
  <c r="S373" i="4"/>
  <c r="AB374" i="4"/>
  <c r="U376" i="4"/>
  <c r="S378" i="4"/>
  <c r="AB380" i="4"/>
  <c r="AD380" i="4"/>
  <c r="V387" i="4"/>
  <c r="S387" i="4"/>
  <c r="T387" i="4"/>
  <c r="U392" i="4"/>
  <c r="W394" i="4"/>
  <c r="V394" i="4"/>
  <c r="AB399" i="4"/>
  <c r="AC399" i="4"/>
  <c r="W401" i="4"/>
  <c r="AC403" i="4"/>
  <c r="U407" i="4"/>
  <c r="V407" i="4"/>
  <c r="AA409" i="4"/>
  <c r="T417" i="4"/>
  <c r="AD422" i="4"/>
  <c r="Z422" i="4"/>
  <c r="A425" i="4"/>
  <c r="V426" i="4"/>
  <c r="U426" i="4"/>
  <c r="Z428" i="4"/>
  <c r="AA428" i="4"/>
  <c r="A433" i="4"/>
  <c r="T433" i="4"/>
  <c r="U441" i="4"/>
  <c r="A441" i="4"/>
  <c r="T441" i="4"/>
  <c r="A442" i="4"/>
  <c r="U442" i="4"/>
  <c r="AD443" i="4"/>
  <c r="B443" i="4"/>
  <c r="AA443" i="4"/>
  <c r="AD450" i="4"/>
  <c r="AC450" i="4"/>
  <c r="C450" i="4"/>
  <c r="T457" i="4"/>
  <c r="AB464" i="4"/>
  <c r="AA464" i="4"/>
  <c r="AB475" i="4"/>
  <c r="Z475" i="4"/>
  <c r="AA475" i="4"/>
  <c r="AB479" i="4"/>
  <c r="AC479" i="4"/>
  <c r="AC481" i="4"/>
  <c r="AB481" i="4"/>
  <c r="U486" i="4"/>
  <c r="A486" i="4"/>
  <c r="U488" i="4"/>
  <c r="T488" i="4"/>
  <c r="U504" i="4"/>
  <c r="V504" i="4"/>
  <c r="T504" i="4"/>
  <c r="W511" i="4"/>
  <c r="S511" i="4"/>
  <c r="C511" i="4"/>
  <c r="AC525" i="4"/>
  <c r="AA525" i="4"/>
  <c r="W530" i="4"/>
  <c r="T530" i="4"/>
  <c r="U539" i="4"/>
  <c r="A539" i="4"/>
  <c r="Z550" i="4"/>
  <c r="C550" i="4"/>
  <c r="AD550" i="4"/>
  <c r="AA550" i="4"/>
  <c r="AD556" i="4"/>
  <c r="B556" i="4"/>
  <c r="AB556" i="4"/>
  <c r="AB559" i="4"/>
  <c r="B559" i="4"/>
  <c r="W562" i="4"/>
  <c r="S562" i="4"/>
  <c r="AC563" i="4"/>
  <c r="U564" i="4"/>
  <c r="T564" i="4"/>
  <c r="AA574" i="4"/>
  <c r="AD574" i="4"/>
  <c r="A583" i="4"/>
  <c r="T583" i="4"/>
  <c r="C589" i="4"/>
  <c r="AA589" i="4"/>
  <c r="AD596" i="4"/>
  <c r="V611" i="4"/>
  <c r="S613" i="4"/>
  <c r="C613" i="4"/>
  <c r="W613" i="4"/>
  <c r="T613" i="4"/>
  <c r="V616" i="4"/>
  <c r="U641" i="4"/>
  <c r="S641" i="4"/>
  <c r="V641" i="4"/>
  <c r="A646" i="4"/>
  <c r="T646" i="4"/>
  <c r="AB648" i="4"/>
  <c r="Z648" i="4"/>
  <c r="AC648" i="4"/>
  <c r="C653" i="4"/>
  <c r="T653" i="4"/>
  <c r="Z660" i="4"/>
  <c r="C660" i="4"/>
  <c r="A662" i="4"/>
  <c r="S662" i="4"/>
  <c r="T678" i="4"/>
  <c r="W678" i="4"/>
  <c r="S678" i="4"/>
  <c r="Z681" i="4"/>
  <c r="AA681" i="4"/>
  <c r="AB686" i="4"/>
  <c r="AA686" i="4"/>
  <c r="AC687" i="4"/>
  <c r="AB687" i="4"/>
  <c r="V690" i="4"/>
  <c r="T690" i="4"/>
  <c r="W690" i="4"/>
  <c r="S690" i="4"/>
  <c r="W698" i="4"/>
  <c r="V698" i="4"/>
  <c r="T698" i="4"/>
  <c r="U702" i="4"/>
  <c r="V702" i="4"/>
  <c r="T702" i="4"/>
  <c r="AB709" i="4"/>
  <c r="AA709" i="4"/>
  <c r="AC709" i="4"/>
  <c r="AB713" i="4"/>
  <c r="AC713" i="4"/>
  <c r="AA724" i="4"/>
  <c r="AB724" i="4"/>
  <c r="B724" i="4"/>
  <c r="V763" i="4"/>
  <c r="T763" i="4"/>
  <c r="W763" i="4"/>
  <c r="S763" i="4"/>
  <c r="A763" i="4"/>
  <c r="U770" i="4"/>
  <c r="T779" i="4"/>
  <c r="S779" i="4"/>
  <c r="AC788" i="4"/>
  <c r="AA788" i="4"/>
  <c r="B788" i="4"/>
  <c r="V795" i="4"/>
  <c r="U795" i="4"/>
  <c r="A798" i="4"/>
  <c r="U798" i="4"/>
  <c r="AD804" i="4"/>
  <c r="AA804" i="4"/>
  <c r="AB812" i="4"/>
  <c r="C823" i="4"/>
  <c r="T823" i="4"/>
  <c r="A824" i="4"/>
  <c r="S824" i="4"/>
  <c r="W824" i="4"/>
  <c r="S839" i="4"/>
  <c r="T839" i="4"/>
  <c r="AA843" i="4"/>
  <c r="Z843" i="4"/>
  <c r="B850" i="4"/>
  <c r="AC850" i="4"/>
  <c r="T852" i="4"/>
  <c r="S852" i="4"/>
  <c r="A852" i="4"/>
  <c r="AA858" i="4"/>
  <c r="S386" i="4"/>
  <c r="U390" i="4"/>
  <c r="AC392" i="4"/>
  <c r="AA397" i="4"/>
  <c r="S400" i="4"/>
  <c r="W404" i="4"/>
  <c r="U408" i="4"/>
  <c r="T408" i="4"/>
  <c r="AA412" i="4"/>
  <c r="AB415" i="4"/>
  <c r="AC415" i="4"/>
  <c r="AB419" i="4"/>
  <c r="U431" i="4"/>
  <c r="C432" i="4"/>
  <c r="AD434" i="4"/>
  <c r="S435" i="4"/>
  <c r="W452" i="4"/>
  <c r="S456" i="4"/>
  <c r="A456" i="4"/>
  <c r="AA457" i="4"/>
  <c r="V462" i="4"/>
  <c r="T469" i="4"/>
  <c r="AC469" i="4"/>
  <c r="T470" i="4"/>
  <c r="U473" i="4"/>
  <c r="Z488" i="4"/>
  <c r="W493" i="4"/>
  <c r="AC495" i="4"/>
  <c r="S496" i="4"/>
  <c r="S497" i="4"/>
  <c r="AC507" i="4"/>
  <c r="U511" i="4"/>
  <c r="AD514" i="4"/>
  <c r="U515" i="4"/>
  <c r="AD517" i="4"/>
  <c r="B517" i="4"/>
  <c r="W522" i="4"/>
  <c r="AB524" i="4"/>
  <c r="W526" i="4"/>
  <c r="T526" i="4"/>
  <c r="AA529" i="4"/>
  <c r="U532" i="4"/>
  <c r="T532" i="4"/>
  <c r="W533" i="4"/>
  <c r="Z534" i="4"/>
  <c r="AD534" i="4"/>
  <c r="AB540" i="4"/>
  <c r="C541" i="4"/>
  <c r="AA545" i="4"/>
  <c r="AC545" i="4"/>
  <c r="U546" i="4"/>
  <c r="A546" i="4"/>
  <c r="V546" i="4"/>
  <c r="A551" i="4"/>
  <c r="W551" i="4"/>
  <c r="V556" i="4"/>
  <c r="T563" i="4"/>
  <c r="S563" i="4"/>
  <c r="AB571" i="4"/>
  <c r="C573" i="4"/>
  <c r="U580" i="4"/>
  <c r="T580" i="4"/>
  <c r="W589" i="4"/>
  <c r="AA593" i="4"/>
  <c r="AD604" i="4"/>
  <c r="AA606" i="4"/>
  <c r="U609" i="4"/>
  <c r="S609" i="4"/>
  <c r="AB616" i="4"/>
  <c r="AC616" i="4"/>
  <c r="AD621" i="4"/>
  <c r="U625" i="4"/>
  <c r="S625" i="4"/>
  <c r="V625" i="4"/>
  <c r="AB633" i="4"/>
  <c r="U635" i="4"/>
  <c r="T635" i="4"/>
  <c r="AA641" i="4"/>
  <c r="Z641" i="4"/>
  <c r="W652" i="4"/>
  <c r="U652" i="4"/>
  <c r="AB658" i="4"/>
  <c r="AA658" i="4"/>
  <c r="U667" i="4"/>
  <c r="T667" i="4"/>
  <c r="AD669" i="4"/>
  <c r="T670" i="4"/>
  <c r="W670" i="4"/>
  <c r="A671" i="4"/>
  <c r="U671" i="4"/>
  <c r="AB672" i="4"/>
  <c r="AA672" i="4"/>
  <c r="B672" i="4"/>
  <c r="V675" i="4"/>
  <c r="AB680" i="4"/>
  <c r="Z680" i="4"/>
  <c r="AB684" i="4"/>
  <c r="Z684" i="4"/>
  <c r="AD684" i="4"/>
  <c r="AC685" i="4"/>
  <c r="AA685" i="4"/>
  <c r="AC689" i="4"/>
  <c r="AA689" i="4"/>
  <c r="Z689" i="4"/>
  <c r="B695" i="4"/>
  <c r="AB695" i="4"/>
  <c r="AB697" i="4"/>
  <c r="AD697" i="4"/>
  <c r="T699" i="4"/>
  <c r="S699" i="4"/>
  <c r="AA702" i="4"/>
  <c r="AD702" i="4"/>
  <c r="U706" i="4"/>
  <c r="V706" i="4"/>
  <c r="C706" i="4"/>
  <c r="U716" i="4"/>
  <c r="T716" i="4"/>
  <c r="S718" i="4"/>
  <c r="AA734" i="4"/>
  <c r="Z734" i="4"/>
  <c r="AD734" i="4"/>
  <c r="AB741" i="4"/>
  <c r="AC741" i="4"/>
  <c r="AA741" i="4"/>
  <c r="AA745" i="4"/>
  <c r="AD763" i="4"/>
  <c r="AA763" i="4"/>
  <c r="T767" i="4"/>
  <c r="AD767" i="4"/>
  <c r="AA767" i="4"/>
  <c r="AB773" i="4"/>
  <c r="AC773" i="4"/>
  <c r="B773" i="4"/>
  <c r="W784" i="4"/>
  <c r="A784" i="4"/>
  <c r="T784" i="4"/>
  <c r="V801" i="4"/>
  <c r="T801" i="4"/>
  <c r="AB837" i="4"/>
  <c r="AD837" i="4"/>
  <c r="S838" i="4"/>
  <c r="U838" i="4"/>
  <c r="B842" i="4"/>
  <c r="Z842" i="4"/>
  <c r="U843" i="4"/>
  <c r="T843" i="4"/>
  <c r="A843" i="4"/>
  <c r="S843" i="4"/>
  <c r="V843" i="4"/>
  <c r="S855" i="4"/>
  <c r="A855" i="4"/>
  <c r="U857" i="4"/>
  <c r="A857" i="4"/>
  <c r="U863" i="4"/>
  <c r="T863" i="4"/>
  <c r="W863" i="4"/>
  <c r="S863" i="4"/>
  <c r="AB874" i="4"/>
  <c r="Z874" i="4"/>
  <c r="AD874" i="4"/>
  <c r="C874" i="4"/>
  <c r="AA874" i="4"/>
  <c r="S501" i="4"/>
  <c r="AA506" i="4"/>
  <c r="B506" i="4"/>
  <c r="AB510" i="4"/>
  <c r="C514" i="4"/>
  <c r="AB519" i="4"/>
  <c r="AD520" i="4"/>
  <c r="AB520" i="4"/>
  <c r="AD529" i="4"/>
  <c r="T531" i="4"/>
  <c r="S531" i="4"/>
  <c r="AA542" i="4"/>
  <c r="U545" i="4"/>
  <c r="S545" i="4"/>
  <c r="T554" i="4"/>
  <c r="V554" i="4"/>
  <c r="U561" i="4"/>
  <c r="S561" i="4"/>
  <c r="AD569" i="4"/>
  <c r="Z569" i="4"/>
  <c r="S575" i="4"/>
  <c r="T575" i="4"/>
  <c r="U578" i="4"/>
  <c r="A578" i="4"/>
  <c r="T578" i="4"/>
  <c r="AD590" i="4"/>
  <c r="AA590" i="4"/>
  <c r="T595" i="4"/>
  <c r="S595" i="4"/>
  <c r="C598" i="4"/>
  <c r="T598" i="4"/>
  <c r="S614" i="4"/>
  <c r="T614" i="4"/>
  <c r="V619" i="4"/>
  <c r="U620" i="4"/>
  <c r="AB624" i="4"/>
  <c r="Z624" i="4"/>
  <c r="C628" i="4"/>
  <c r="W630" i="4"/>
  <c r="U633" i="4"/>
  <c r="T633" i="4"/>
  <c r="S633" i="4"/>
  <c r="W638" i="4"/>
  <c r="W645" i="4"/>
  <c r="U649" i="4"/>
  <c r="S649" i="4"/>
  <c r="V649" i="4"/>
  <c r="AD653" i="4"/>
  <c r="AA657" i="4"/>
  <c r="Z657" i="4"/>
  <c r="AB665" i="4"/>
  <c r="T666" i="4"/>
  <c r="A666" i="4"/>
  <c r="AC679" i="4"/>
  <c r="AB679" i="4"/>
  <c r="AB693" i="4"/>
  <c r="AA693" i="4"/>
  <c r="AC693" i="4"/>
  <c r="AD700" i="4"/>
  <c r="AB705" i="4"/>
  <c r="AA705" i="4"/>
  <c r="Z718" i="4"/>
  <c r="U720" i="4"/>
  <c r="A720" i="4"/>
  <c r="AA722" i="4"/>
  <c r="Z722" i="4"/>
  <c r="AB725" i="4"/>
  <c r="AA725" i="4"/>
  <c r="AB749" i="4"/>
  <c r="AC749" i="4"/>
  <c r="B749" i="4"/>
  <c r="U758" i="4"/>
  <c r="V758" i="4"/>
  <c r="V759" i="4"/>
  <c r="T759" i="4"/>
  <c r="S759" i="4"/>
  <c r="W759" i="4"/>
  <c r="A759" i="4"/>
  <c r="C762" i="4"/>
  <c r="AC766" i="4"/>
  <c r="Z766" i="4"/>
  <c r="AA766" i="4"/>
  <c r="W775" i="4"/>
  <c r="T775" i="4"/>
  <c r="U778" i="4"/>
  <c r="C778" i="4"/>
  <c r="V783" i="4"/>
  <c r="S783" i="4"/>
  <c r="W783" i="4"/>
  <c r="T783" i="4"/>
  <c r="AC792" i="4"/>
  <c r="AA792" i="4"/>
  <c r="C792" i="4"/>
  <c r="Z792" i="4"/>
  <c r="AC798" i="4"/>
  <c r="S801" i="4"/>
  <c r="AC807" i="4"/>
  <c r="AD807" i="4"/>
  <c r="Z807" i="4"/>
  <c r="B830" i="4"/>
  <c r="Z830" i="4"/>
  <c r="C830" i="4"/>
  <c r="AA830" i="4"/>
  <c r="A853" i="4"/>
  <c r="T853" i="4"/>
  <c r="U853" i="4"/>
  <c r="V862" i="4"/>
  <c r="A863" i="4"/>
  <c r="V863" i="4"/>
  <c r="W194" i="4"/>
  <c r="T195" i="4"/>
  <c r="AC196" i="4"/>
  <c r="AD196" i="4"/>
  <c r="V197" i="4"/>
  <c r="W197" i="4"/>
  <c r="AD201" i="4"/>
  <c r="AB203" i="4"/>
  <c r="U204" i="4"/>
  <c r="W206" i="4"/>
  <c r="T207" i="4"/>
  <c r="U208" i="4"/>
  <c r="AB214" i="4"/>
  <c r="S215" i="4"/>
  <c r="AC215" i="4"/>
  <c r="V216" i="4"/>
  <c r="AD218" i="4"/>
  <c r="U219" i="4"/>
  <c r="AC219" i="4"/>
  <c r="V220" i="4"/>
  <c r="AB223" i="4"/>
  <c r="AD223" i="4"/>
  <c r="U224" i="4"/>
  <c r="W224" i="4"/>
  <c r="AB227" i="4"/>
  <c r="AD227" i="4"/>
  <c r="U228" i="4"/>
  <c r="W228" i="4"/>
  <c r="AB229" i="4"/>
  <c r="AC230" i="4"/>
  <c r="AB235" i="4"/>
  <c r="AD235" i="4"/>
  <c r="U236" i="4"/>
  <c r="W236" i="4"/>
  <c r="W239" i="4"/>
  <c r="AB242" i="4"/>
  <c r="U243" i="4"/>
  <c r="W243" i="4"/>
  <c r="AB246" i="4"/>
  <c r="S247" i="4"/>
  <c r="AC247" i="4"/>
  <c r="V248" i="4"/>
  <c r="AC249" i="4"/>
  <c r="C250" i="4"/>
  <c r="V251" i="4"/>
  <c r="AB255" i="4"/>
  <c r="AD255" i="4"/>
  <c r="U256" i="4"/>
  <c r="W256" i="4"/>
  <c r="C258" i="4"/>
  <c r="Z258" i="4"/>
  <c r="AB259" i="4"/>
  <c r="AD259" i="4"/>
  <c r="U260" i="4"/>
  <c r="W260" i="4"/>
  <c r="AB261" i="4"/>
  <c r="AC262" i="4"/>
  <c r="U266" i="4"/>
  <c r="V267" i="4"/>
  <c r="AC271" i="4"/>
  <c r="V272" i="4"/>
  <c r="AB278" i="4"/>
  <c r="S279" i="4"/>
  <c r="AC279" i="4"/>
  <c r="V280" i="4"/>
  <c r="AB286" i="4"/>
  <c r="AD286" i="4"/>
  <c r="A289" i="4"/>
  <c r="AB290" i="4"/>
  <c r="U291" i="4"/>
  <c r="W291" i="4"/>
  <c r="AB294" i="4"/>
  <c r="S295" i="4"/>
  <c r="AC295" i="4"/>
  <c r="V296" i="4"/>
  <c r="U299" i="4"/>
  <c r="AC299" i="4"/>
  <c r="V300" i="4"/>
  <c r="W303" i="4"/>
  <c r="Z306" i="4"/>
  <c r="AB307" i="4"/>
  <c r="AD307" i="4"/>
  <c r="U308" i="4"/>
  <c r="W308" i="4"/>
  <c r="U310" i="4"/>
  <c r="AB313" i="4"/>
  <c r="U315" i="4"/>
  <c r="AC315" i="4"/>
  <c r="V316" i="4"/>
  <c r="AB319" i="4"/>
  <c r="AD319" i="4"/>
  <c r="U320" i="4"/>
  <c r="W320" i="4"/>
  <c r="AC323" i="4"/>
  <c r="V324" i="4"/>
  <c r="U326" i="4"/>
  <c r="AB331" i="4"/>
  <c r="AD331" i="4"/>
  <c r="U332" i="4"/>
  <c r="W332" i="4"/>
  <c r="A337" i="4"/>
  <c r="C338" i="4"/>
  <c r="Z338" i="4"/>
  <c r="AB339" i="4"/>
  <c r="AD339" i="4"/>
  <c r="U340" i="4"/>
  <c r="W340" i="4"/>
  <c r="U342" i="4"/>
  <c r="AD346" i="4"/>
  <c r="AB347" i="4"/>
  <c r="AD347" i="4"/>
  <c r="U348" i="4"/>
  <c r="W348" i="4"/>
  <c r="AB354" i="4"/>
  <c r="S355" i="4"/>
  <c r="AC355" i="4"/>
  <c r="V356" i="4"/>
  <c r="AB357" i="4"/>
  <c r="V358" i="4"/>
  <c r="AB362" i="4"/>
  <c r="AD362" i="4"/>
  <c r="T375" i="4"/>
  <c r="AB377" i="4"/>
  <c r="AC379" i="4"/>
  <c r="Z382" i="4"/>
  <c r="AA385" i="4"/>
  <c r="AB389" i="4"/>
  <c r="AC390" i="4"/>
  <c r="AD390" i="4"/>
  <c r="V391" i="4"/>
  <c r="W391" i="4"/>
  <c r="AD393" i="4"/>
  <c r="AC394" i="4"/>
  <c r="AD394" i="4"/>
  <c r="V395" i="4"/>
  <c r="W395" i="4"/>
  <c r="AD404" i="4"/>
  <c r="AA410" i="4"/>
  <c r="S424" i="4"/>
  <c r="C427" i="4"/>
  <c r="U440" i="4"/>
  <c r="AA442" i="4"/>
  <c r="AB443" i="4"/>
  <c r="AC443" i="4"/>
  <c r="U447" i="4"/>
  <c r="Z447" i="4"/>
  <c r="U456" i="4"/>
  <c r="V458" i="4"/>
  <c r="AB459" i="4"/>
  <c r="AC459" i="4"/>
  <c r="W468" i="4"/>
  <c r="S472" i="4"/>
  <c r="W484" i="4"/>
  <c r="AD484" i="4"/>
  <c r="AB489" i="4"/>
  <c r="AB491" i="4"/>
  <c r="AC491" i="4"/>
  <c r="Z495" i="4"/>
  <c r="T498" i="4"/>
  <c r="U500" i="4"/>
  <c r="V500" i="4"/>
  <c r="B503" i="4"/>
  <c r="AA504" i="4"/>
  <c r="AD507" i="4"/>
  <c r="W509" i="4"/>
  <c r="C512" i="4"/>
  <c r="AD521" i="4"/>
  <c r="V525" i="4"/>
  <c r="AD525" i="4"/>
  <c r="AB527" i="4"/>
  <c r="T535" i="4"/>
  <c r="S543" i="4"/>
  <c r="U548" i="4"/>
  <c r="AD558" i="4"/>
  <c r="AB561" i="4"/>
  <c r="AC561" i="4"/>
  <c r="C566" i="4"/>
  <c r="Z573" i="4"/>
  <c r="C574" i="4"/>
  <c r="U577" i="4"/>
  <c r="T579" i="4"/>
  <c r="S579" i="4"/>
  <c r="Z589" i="4"/>
  <c r="C590" i="4"/>
  <c r="U593" i="4"/>
  <c r="S593" i="4"/>
  <c r="U596" i="4"/>
  <c r="T596" i="4"/>
  <c r="W597" i="4"/>
  <c r="T599" i="4"/>
  <c r="S607" i="4"/>
  <c r="AB612" i="4"/>
  <c r="AA612" i="4"/>
  <c r="AA616" i="4"/>
  <c r="AA620" i="4"/>
  <c r="AD624" i="4"/>
  <c r="AB632" i="4"/>
  <c r="Z632" i="4"/>
  <c r="B632" i="4"/>
  <c r="T637" i="4"/>
  <c r="AA639" i="4"/>
  <c r="Z639" i="4"/>
  <c r="AD640" i="4"/>
  <c r="AB642" i="4"/>
  <c r="AA642" i="4"/>
  <c r="W646" i="4"/>
  <c r="S653" i="4"/>
  <c r="AB656" i="4"/>
  <c r="AA656" i="4"/>
  <c r="T657" i="4"/>
  <c r="AA660" i="4"/>
  <c r="AB664" i="4"/>
  <c r="AC664" i="4"/>
  <c r="C669" i="4"/>
  <c r="U673" i="4"/>
  <c r="AD677" i="4"/>
  <c r="U685" i="4"/>
  <c r="W685" i="4"/>
  <c r="V688" i="4"/>
  <c r="AA691" i="4"/>
  <c r="U693" i="4"/>
  <c r="U698" i="4"/>
  <c r="S698" i="4"/>
  <c r="AD701" i="4"/>
  <c r="AD705" i="4"/>
  <c r="T706" i="4"/>
  <c r="C709" i="4"/>
  <c r="Z709" i="4"/>
  <c r="U713" i="4"/>
  <c r="AA713" i="4"/>
  <c r="U714" i="4"/>
  <c r="A714" i="4"/>
  <c r="V714" i="4"/>
  <c r="T715" i="4"/>
  <c r="AD718" i="4"/>
  <c r="T719" i="4"/>
  <c r="T722" i="4"/>
  <c r="S729" i="4"/>
  <c r="AA729" i="4"/>
  <c r="AA736" i="4"/>
  <c r="Z736" i="4"/>
  <c r="W741" i="4"/>
  <c r="C741" i="4"/>
  <c r="U750" i="4"/>
  <c r="AD755" i="4"/>
  <c r="AA755" i="4"/>
  <c r="W756" i="4"/>
  <c r="A756" i="4"/>
  <c r="AC758" i="4"/>
  <c r="AA758" i="4"/>
  <c r="AB760" i="4"/>
  <c r="AC774" i="4"/>
  <c r="Z774" i="4"/>
  <c r="AD774" i="4"/>
  <c r="C774" i="4"/>
  <c r="W776" i="4"/>
  <c r="T776" i="4"/>
  <c r="AC782" i="4"/>
  <c r="Z782" i="4"/>
  <c r="AA782" i="4"/>
  <c r="B790" i="4"/>
  <c r="U792" i="4"/>
  <c r="W792" i="4"/>
  <c r="AB795" i="4"/>
  <c r="AC795" i="4"/>
  <c r="AD795" i="4"/>
  <c r="AC800" i="4"/>
  <c r="Z800" i="4"/>
  <c r="U803" i="4"/>
  <c r="AC804" i="4"/>
  <c r="T812" i="4"/>
  <c r="W812" i="4"/>
  <c r="AB814" i="4"/>
  <c r="Z814" i="4"/>
  <c r="B814" i="4"/>
  <c r="AD814" i="4"/>
  <c r="Z815" i="4"/>
  <c r="AA815" i="4"/>
  <c r="AD822" i="4"/>
  <c r="AA827" i="4"/>
  <c r="AD827" i="4"/>
  <c r="AD829" i="4"/>
  <c r="AB829" i="4"/>
  <c r="B829" i="4"/>
  <c r="AB841" i="4"/>
  <c r="Z841" i="4"/>
  <c r="T856" i="4"/>
  <c r="A856" i="4"/>
  <c r="AC863" i="4"/>
  <c r="AA863" i="4"/>
  <c r="V868" i="4"/>
  <c r="A868" i="4"/>
  <c r="T868" i="4"/>
  <c r="AB870" i="4"/>
  <c r="Z870" i="4"/>
  <c r="AD870" i="4"/>
  <c r="A731" i="4"/>
  <c r="T731" i="4"/>
  <c r="AC742" i="4"/>
  <c r="Z742" i="4"/>
  <c r="AD742" i="4"/>
  <c r="C742" i="4"/>
  <c r="U744" i="4"/>
  <c r="W752" i="4"/>
  <c r="T752" i="4"/>
  <c r="AC762" i="4"/>
  <c r="AA762" i="4"/>
  <c r="Z762" i="4"/>
  <c r="V767" i="4"/>
  <c r="W768" i="4"/>
  <c r="AB781" i="4"/>
  <c r="AC781" i="4"/>
  <c r="B781" i="4"/>
  <c r="AC785" i="4"/>
  <c r="B785" i="4"/>
  <c r="T794" i="4"/>
  <c r="V797" i="4"/>
  <c r="S797" i="4"/>
  <c r="AB799" i="4"/>
  <c r="AC799" i="4"/>
  <c r="B799" i="4"/>
  <c r="V804" i="4"/>
  <c r="S804" i="4"/>
  <c r="W804" i="4"/>
  <c r="V805" i="4"/>
  <c r="T805" i="4"/>
  <c r="C810" i="4"/>
  <c r="U816" i="4"/>
  <c r="T816" i="4"/>
  <c r="V818" i="4"/>
  <c r="S818" i="4"/>
  <c r="AB823" i="4"/>
  <c r="AA823" i="4"/>
  <c r="W831" i="4"/>
  <c r="AB834" i="4"/>
  <c r="B834" i="4"/>
  <c r="Z834" i="4"/>
  <c r="C834" i="4"/>
  <c r="AA834" i="4"/>
  <c r="AA839" i="4"/>
  <c r="AD839" i="4"/>
  <c r="A841" i="4"/>
  <c r="U841" i="4"/>
  <c r="V848" i="4"/>
  <c r="S848" i="4"/>
  <c r="A848" i="4"/>
  <c r="W848" i="4"/>
  <c r="U855" i="4"/>
  <c r="T855" i="4"/>
  <c r="V855" i="4"/>
  <c r="V867" i="4"/>
  <c r="T867" i="4"/>
  <c r="AC871" i="4"/>
  <c r="AA871" i="4"/>
  <c r="A875" i="4"/>
  <c r="S875" i="4"/>
  <c r="S534" i="4"/>
  <c r="AB537" i="4"/>
  <c r="AC537" i="4"/>
  <c r="U538" i="4"/>
  <c r="AA538" i="4"/>
  <c r="AB545" i="4"/>
  <c r="W546" i="4"/>
  <c r="AA552" i="4"/>
  <c r="AB553" i="4"/>
  <c r="AC553" i="4"/>
  <c r="U554" i="4"/>
  <c r="AA554" i="4"/>
  <c r="U562" i="4"/>
  <c r="V562" i="4"/>
  <c r="S566" i="4"/>
  <c r="AB569" i="4"/>
  <c r="AC569" i="4"/>
  <c r="U570" i="4"/>
  <c r="AA570" i="4"/>
  <c r="AB577" i="4"/>
  <c r="W578" i="4"/>
  <c r="AA584" i="4"/>
  <c r="AB585" i="4"/>
  <c r="AC585" i="4"/>
  <c r="U586" i="4"/>
  <c r="AA586" i="4"/>
  <c r="U594" i="4"/>
  <c r="V594" i="4"/>
  <c r="S598" i="4"/>
  <c r="AB601" i="4"/>
  <c r="AC601" i="4"/>
  <c r="U602" i="4"/>
  <c r="AA602" i="4"/>
  <c r="AB609" i="4"/>
  <c r="W610" i="4"/>
  <c r="S612" i="4"/>
  <c r="B614" i="4"/>
  <c r="U617" i="4"/>
  <c r="V617" i="4"/>
  <c r="U623" i="4"/>
  <c r="AD627" i="4"/>
  <c r="Z628" i="4"/>
  <c r="T634" i="4"/>
  <c r="AD643" i="4"/>
  <c r="Z644" i="4"/>
  <c r="AA648" i="4"/>
  <c r="T650" i="4"/>
  <c r="U651" i="4"/>
  <c r="U665" i="4"/>
  <c r="V665" i="4"/>
  <c r="W668" i="4"/>
  <c r="S669" i="4"/>
  <c r="AD672" i="4"/>
  <c r="T673" i="4"/>
  <c r="V680" i="4"/>
  <c r="AA680" i="4"/>
  <c r="AC681" i="4"/>
  <c r="AD681" i="4"/>
  <c r="V682" i="4"/>
  <c r="W682" i="4"/>
  <c r="U687" i="4"/>
  <c r="AB688" i="4"/>
  <c r="AD688" i="4"/>
  <c r="U689" i="4"/>
  <c r="W689" i="4"/>
  <c r="AC695" i="4"/>
  <c r="AA704" i="4"/>
  <c r="W714" i="4"/>
  <c r="AB721" i="4"/>
  <c r="AC721" i="4"/>
  <c r="Z725" i="4"/>
  <c r="T727" i="4"/>
  <c r="S734" i="4"/>
  <c r="T738" i="4"/>
  <c r="V743" i="4"/>
  <c r="S743" i="4"/>
  <c r="U754" i="4"/>
  <c r="AB757" i="4"/>
  <c r="U762" i="4"/>
  <c r="V762" i="4"/>
  <c r="AB765" i="4"/>
  <c r="U766" i="4"/>
  <c r="C766" i="4"/>
  <c r="W772" i="4"/>
  <c r="A772" i="4"/>
  <c r="V775" i="4"/>
  <c r="S775" i="4"/>
  <c r="AD779" i="4"/>
  <c r="U786" i="4"/>
  <c r="AB789" i="4"/>
  <c r="AB794" i="4"/>
  <c r="AB806" i="4"/>
  <c r="C807" i="4"/>
  <c r="Z810" i="4"/>
  <c r="C811" i="4"/>
  <c r="U814" i="4"/>
  <c r="S814" i="4"/>
  <c r="AB816" i="4"/>
  <c r="U819" i="4"/>
  <c r="S819" i="4"/>
  <c r="C819" i="4"/>
  <c r="Z826" i="4"/>
  <c r="AB832" i="4"/>
  <c r="AA832" i="4"/>
  <c r="S835" i="4"/>
  <c r="T840" i="4"/>
  <c r="W840" i="4"/>
  <c r="W849" i="4"/>
  <c r="T849" i="4"/>
  <c r="AA857" i="4"/>
  <c r="Z857" i="4"/>
  <c r="B857" i="4"/>
  <c r="V859" i="4"/>
  <c r="AB862" i="4"/>
  <c r="AA862" i="4"/>
  <c r="Z862" i="4"/>
  <c r="AC866" i="4"/>
  <c r="Z866" i="4"/>
  <c r="AC867" i="4"/>
  <c r="U871" i="4"/>
  <c r="S871" i="4"/>
  <c r="T871" i="4"/>
  <c r="U730" i="4"/>
  <c r="V730" i="4"/>
  <c r="AB737" i="4"/>
  <c r="AC737" i="4"/>
  <c r="AA740" i="4"/>
  <c r="U746" i="4"/>
  <c r="AC746" i="4"/>
  <c r="AD746" i="4"/>
  <c r="V747" i="4"/>
  <c r="W747" i="4"/>
  <c r="W748" i="4"/>
  <c r="AD751" i="4"/>
  <c r="AB753" i="4"/>
  <c r="AC754" i="4"/>
  <c r="AD754" i="4"/>
  <c r="V755" i="4"/>
  <c r="W755" i="4"/>
  <c r="W764" i="4"/>
  <c r="AB769" i="4"/>
  <c r="AC770" i="4"/>
  <c r="AD770" i="4"/>
  <c r="V771" i="4"/>
  <c r="W771" i="4"/>
  <c r="U774" i="4"/>
  <c r="AB777" i="4"/>
  <c r="AC778" i="4"/>
  <c r="AD778" i="4"/>
  <c r="V779" i="4"/>
  <c r="W779" i="4"/>
  <c r="U782" i="4"/>
  <c r="AB785" i="4"/>
  <c r="AC786" i="4"/>
  <c r="AB788" i="4"/>
  <c r="AD788" i="4"/>
  <c r="U789" i="4"/>
  <c r="W789" i="4"/>
  <c r="AB792" i="4"/>
  <c r="AD792" i="4"/>
  <c r="U793" i="4"/>
  <c r="W793" i="4"/>
  <c r="AB796" i="4"/>
  <c r="AD796" i="4"/>
  <c r="U797" i="4"/>
  <c r="W797" i="4"/>
  <c r="Z799" i="4"/>
  <c r="AB800" i="4"/>
  <c r="AD800" i="4"/>
  <c r="U801" i="4"/>
  <c r="W801" i="4"/>
  <c r="W805" i="4"/>
  <c r="V808" i="4"/>
  <c r="S815" i="4"/>
  <c r="A817" i="4"/>
  <c r="AD818" i="4"/>
  <c r="T819" i="4"/>
  <c r="U820" i="4"/>
  <c r="U822" i="4"/>
  <c r="T824" i="4"/>
  <c r="AA831" i="4"/>
  <c r="T832" i="4"/>
  <c r="W832" i="4"/>
  <c r="T836" i="4"/>
  <c r="A836" i="4"/>
  <c r="C837" i="4"/>
  <c r="W843" i="4"/>
  <c r="AB844" i="4"/>
  <c r="AC847" i="4"/>
  <c r="Z847" i="4"/>
  <c r="U851" i="4"/>
  <c r="A851" i="4"/>
  <c r="V851" i="4"/>
  <c r="Z855" i="4"/>
  <c r="T866" i="4"/>
  <c r="T870" i="4"/>
  <c r="C870" i="4"/>
  <c r="AC870" i="4"/>
  <c r="V872" i="4"/>
  <c r="AA875" i="4"/>
  <c r="W823" i="4"/>
  <c r="U825" i="4"/>
  <c r="U827" i="4"/>
  <c r="V827" i="4"/>
  <c r="AB828" i="4"/>
  <c r="U830" i="4"/>
  <c r="AD830" i="4"/>
  <c r="U834" i="4"/>
  <c r="AD834" i="4"/>
  <c r="W838" i="4"/>
  <c r="W839" i="4"/>
  <c r="AD841" i="4"/>
  <c r="AD842" i="4"/>
  <c r="V844" i="4"/>
  <c r="W844" i="4"/>
  <c r="W851" i="4"/>
  <c r="AB858" i="4"/>
  <c r="AC858" i="4"/>
  <c r="AA861" i="4"/>
  <c r="T862" i="4"/>
  <c r="W862" i="4"/>
  <c r="V864" i="4"/>
  <c r="AB866" i="4"/>
  <c r="AD866" i="4"/>
  <c r="U867" i="4"/>
  <c r="W867" i="4"/>
  <c r="U875" i="4"/>
  <c r="W875" i="4"/>
  <c r="W8" i="4"/>
  <c r="T8" i="4"/>
  <c r="A8" i="4"/>
  <c r="S8" i="4"/>
  <c r="AD23" i="4"/>
  <c r="Z23" i="4"/>
  <c r="AA23" i="4"/>
  <c r="T27" i="4"/>
  <c r="A27" i="4"/>
  <c r="C27" i="4"/>
  <c r="W27" i="4"/>
  <c r="S27" i="4"/>
  <c r="V27" i="4"/>
  <c r="T31" i="4"/>
  <c r="V31" i="4"/>
  <c r="W31" i="4"/>
  <c r="S31" i="4"/>
  <c r="C31" i="4"/>
  <c r="AA38" i="4"/>
  <c r="AD38" i="4"/>
  <c r="Z38" i="4"/>
  <c r="AC38" i="4"/>
  <c r="B38" i="4"/>
  <c r="S48" i="4"/>
  <c r="T48" i="4"/>
  <c r="A48" i="4"/>
  <c r="W48" i="4"/>
  <c r="AA58" i="4"/>
  <c r="AC58" i="4"/>
  <c r="AD58" i="4"/>
  <c r="Z58" i="4"/>
  <c r="AA62" i="4"/>
  <c r="B62" i="4"/>
  <c r="AD62" i="4"/>
  <c r="Z62" i="4"/>
  <c r="AC62" i="4"/>
  <c r="S64" i="4"/>
  <c r="T64" i="4"/>
  <c r="W64" i="4"/>
  <c r="AA66" i="4"/>
  <c r="AC66" i="4"/>
  <c r="B66" i="4"/>
  <c r="AD66" i="4"/>
  <c r="Z66" i="4"/>
  <c r="W68" i="4"/>
  <c r="T68" i="4"/>
  <c r="S68" i="4"/>
  <c r="AA70" i="4"/>
  <c r="AC70" i="4"/>
  <c r="B70" i="4"/>
  <c r="AD70" i="4"/>
  <c r="Z70" i="4"/>
  <c r="T72" i="4"/>
  <c r="A72" i="4"/>
  <c r="W72" i="4"/>
  <c r="S72" i="4"/>
  <c r="AA74" i="4"/>
  <c r="AD74" i="4"/>
  <c r="Z74" i="4"/>
  <c r="AC74" i="4"/>
  <c r="B74" i="4"/>
  <c r="W76" i="4"/>
  <c r="S76" i="4"/>
  <c r="T76" i="4"/>
  <c r="A76" i="4"/>
  <c r="AA78" i="4"/>
  <c r="AC78" i="4"/>
  <c r="AD78" i="4"/>
  <c r="Z78" i="4"/>
  <c r="W80" i="4"/>
  <c r="T80" i="4"/>
  <c r="A80" i="4"/>
  <c r="S80" i="4"/>
  <c r="AA82" i="4"/>
  <c r="AC82" i="4"/>
  <c r="AD82" i="4"/>
  <c r="Z82" i="4"/>
  <c r="B82" i="4"/>
  <c r="W84" i="4"/>
  <c r="T84" i="4"/>
  <c r="A84" i="4"/>
  <c r="S84" i="4"/>
  <c r="AA86" i="4"/>
  <c r="AB86" i="4"/>
  <c r="AD86" i="4"/>
  <c r="Z86" i="4"/>
  <c r="AC86" i="4"/>
  <c r="B86" i="4"/>
  <c r="AA2" i="4"/>
  <c r="AC2" i="4"/>
  <c r="B2" i="4"/>
  <c r="AD2" i="4"/>
  <c r="Z2" i="4"/>
  <c r="AA6" i="4"/>
  <c r="AD6" i="4"/>
  <c r="Z6" i="4"/>
  <c r="AC6" i="4"/>
  <c r="B6" i="4"/>
  <c r="AA10" i="4"/>
  <c r="AD10" i="4"/>
  <c r="Z10" i="4"/>
  <c r="AC10" i="4"/>
  <c r="T23" i="4"/>
  <c r="A23" i="4"/>
  <c r="V23" i="4"/>
  <c r="W23" i="4"/>
  <c r="S23" i="4"/>
  <c r="C23" i="4"/>
  <c r="AA27" i="4"/>
  <c r="AD27" i="4"/>
  <c r="Z27" i="4"/>
  <c r="AD31" i="4"/>
  <c r="Z31" i="4"/>
  <c r="AA31" i="4"/>
  <c r="S36" i="4"/>
  <c r="T36" i="4"/>
  <c r="A36" i="4"/>
  <c r="W36" i="4"/>
  <c r="AA50" i="4"/>
  <c r="AC50" i="4"/>
  <c r="AD50" i="4"/>
  <c r="Z50" i="4"/>
  <c r="AA54" i="4"/>
  <c r="AC54" i="4"/>
  <c r="AD54" i="4"/>
  <c r="Z54" i="4"/>
  <c r="T60" i="4"/>
  <c r="A60" i="4"/>
  <c r="W60" i="4"/>
  <c r="S60" i="4"/>
  <c r="AC23" i="4"/>
  <c r="AC27" i="4"/>
  <c r="V48" i="4"/>
  <c r="V60" i="4"/>
  <c r="V64" i="4"/>
  <c r="V68" i="4"/>
  <c r="V72" i="4"/>
  <c r="V76" i="4"/>
  <c r="V80" i="4"/>
  <c r="V84" i="4"/>
  <c r="A4" i="4"/>
  <c r="W4" i="4"/>
  <c r="T4" i="4"/>
  <c r="S4" i="4"/>
  <c r="C8" i="4"/>
  <c r="S12" i="4"/>
  <c r="T12" i="4"/>
  <c r="A12" i="4"/>
  <c r="W12" i="4"/>
  <c r="AA14" i="4"/>
  <c r="AD14" i="4"/>
  <c r="Z14" i="4"/>
  <c r="AC14" i="4"/>
  <c r="S16" i="4"/>
  <c r="T16" i="4"/>
  <c r="A16" i="4"/>
  <c r="W16" i="4"/>
  <c r="AA18" i="4"/>
  <c r="AD18" i="4"/>
  <c r="Z18" i="4"/>
  <c r="AC18" i="4"/>
  <c r="B18" i="4"/>
  <c r="T35" i="4"/>
  <c r="A35" i="4"/>
  <c r="V35" i="4"/>
  <c r="C35" i="4"/>
  <c r="W35" i="4"/>
  <c r="S35" i="4"/>
  <c r="C36" i="4"/>
  <c r="S40" i="4"/>
  <c r="T40" i="4"/>
  <c r="A40" i="4"/>
  <c r="W40" i="4"/>
  <c r="AA42" i="4"/>
  <c r="AC42" i="4"/>
  <c r="B42" i="4"/>
  <c r="AD42" i="4"/>
  <c r="Z42" i="4"/>
  <c r="T44" i="4"/>
  <c r="A44" i="4"/>
  <c r="W44" i="4"/>
  <c r="S44" i="4"/>
  <c r="AA46" i="4"/>
  <c r="AD46" i="4"/>
  <c r="Z46" i="4"/>
  <c r="AC46" i="4"/>
  <c r="B46" i="4"/>
  <c r="C48" i="4"/>
  <c r="W52" i="4"/>
  <c r="T52" i="4"/>
  <c r="A52" i="4"/>
  <c r="S52" i="4"/>
  <c r="W56" i="4"/>
  <c r="T56" i="4"/>
  <c r="A56" i="4"/>
  <c r="S56" i="4"/>
  <c r="C60" i="4"/>
  <c r="C64" i="4"/>
  <c r="V4" i="4"/>
  <c r="V8" i="4"/>
  <c r="V12" i="4"/>
  <c r="V16" i="4"/>
  <c r="B27" i="4"/>
  <c r="B31" i="4"/>
  <c r="AC31" i="4"/>
  <c r="V36" i="4"/>
  <c r="AB2" i="4"/>
  <c r="T3" i="4"/>
  <c r="A3" i="4"/>
  <c r="W3" i="4"/>
  <c r="S3" i="4"/>
  <c r="C3" i="4"/>
  <c r="V3" i="4"/>
  <c r="AA3" i="4"/>
  <c r="AD3" i="4"/>
  <c r="Z3" i="4"/>
  <c r="AB6" i="4"/>
  <c r="T7" i="4"/>
  <c r="A7" i="4"/>
  <c r="C7" i="4"/>
  <c r="W7" i="4"/>
  <c r="S7" i="4"/>
  <c r="V7" i="4"/>
  <c r="AA7" i="4"/>
  <c r="AD7" i="4"/>
  <c r="Z7" i="4"/>
  <c r="AB10" i="4"/>
  <c r="T11" i="4"/>
  <c r="A11" i="4"/>
  <c r="V11" i="4"/>
  <c r="W11" i="4"/>
  <c r="S11" i="4"/>
  <c r="C11" i="4"/>
  <c r="AD11" i="4"/>
  <c r="Z11" i="4"/>
  <c r="AA11" i="4"/>
  <c r="AB14" i="4"/>
  <c r="T15" i="4"/>
  <c r="A15" i="4"/>
  <c r="V15" i="4"/>
  <c r="W15" i="4"/>
  <c r="S15" i="4"/>
  <c r="C15" i="4"/>
  <c r="AD15" i="4"/>
  <c r="Z15" i="4"/>
  <c r="AA15" i="4"/>
  <c r="AB18" i="4"/>
  <c r="T19" i="4"/>
  <c r="V19" i="4"/>
  <c r="W19" i="4"/>
  <c r="S19" i="4"/>
  <c r="S20" i="4"/>
  <c r="T20" i="4"/>
  <c r="A20" i="4"/>
  <c r="W20" i="4"/>
  <c r="AA22" i="4"/>
  <c r="AD22" i="4"/>
  <c r="Z22" i="4"/>
  <c r="AC22" i="4"/>
  <c r="U23" i="4"/>
  <c r="S24" i="4"/>
  <c r="T24" i="4"/>
  <c r="A24" i="4"/>
  <c r="W24" i="4"/>
  <c r="AA26" i="4"/>
  <c r="AC26" i="4"/>
  <c r="B26" i="4"/>
  <c r="AD26" i="4"/>
  <c r="Z26" i="4"/>
  <c r="U27" i="4"/>
  <c r="T28" i="4"/>
  <c r="A28" i="4"/>
  <c r="W28" i="4"/>
  <c r="S28" i="4"/>
  <c r="AA30" i="4"/>
  <c r="AD30" i="4"/>
  <c r="Z30" i="4"/>
  <c r="AC30" i="4"/>
  <c r="B30" i="4"/>
  <c r="U31" i="4"/>
  <c r="S32" i="4"/>
  <c r="T32" i="4"/>
  <c r="A32" i="4"/>
  <c r="W32" i="4"/>
  <c r="AA34" i="4"/>
  <c r="AC34" i="4"/>
  <c r="AD34" i="4"/>
  <c r="Z34" i="4"/>
  <c r="U35" i="4"/>
  <c r="AB38" i="4"/>
  <c r="T39" i="4"/>
  <c r="A39" i="4"/>
  <c r="V39" i="4"/>
  <c r="W39" i="4"/>
  <c r="S39" i="4"/>
  <c r="C39" i="4"/>
  <c r="AD39" i="4"/>
  <c r="Z39" i="4"/>
  <c r="AA39" i="4"/>
  <c r="AB42" i="4"/>
  <c r="T43" i="4"/>
  <c r="C43" i="4"/>
  <c r="W43" i="4"/>
  <c r="S43" i="4"/>
  <c r="V43" i="4"/>
  <c r="AA43" i="4"/>
  <c r="AD43" i="4"/>
  <c r="Z43" i="4"/>
  <c r="AB46" i="4"/>
  <c r="T47" i="4"/>
  <c r="V47" i="4"/>
  <c r="W47" i="4"/>
  <c r="S47" i="4"/>
  <c r="C47" i="4"/>
  <c r="AD47" i="4"/>
  <c r="Z47" i="4"/>
  <c r="AA47" i="4"/>
  <c r="AB50" i="4"/>
  <c r="T51" i="4"/>
  <c r="W51" i="4"/>
  <c r="S51" i="4"/>
  <c r="V51" i="4"/>
  <c r="AA51" i="4"/>
  <c r="AD51" i="4"/>
  <c r="Z51" i="4"/>
  <c r="AB54" i="4"/>
  <c r="T55" i="4"/>
  <c r="A55" i="4"/>
  <c r="C55" i="4"/>
  <c r="W55" i="4"/>
  <c r="S55" i="4"/>
  <c r="V55" i="4"/>
  <c r="AA55" i="4"/>
  <c r="AD55" i="4"/>
  <c r="Z55" i="4"/>
  <c r="AB58" i="4"/>
  <c r="T59" i="4"/>
  <c r="A59" i="4"/>
  <c r="C59" i="4"/>
  <c r="W59" i="4"/>
  <c r="S59" i="4"/>
  <c r="V59" i="4"/>
  <c r="AA59" i="4"/>
  <c r="AD59" i="4"/>
  <c r="Z59" i="4"/>
  <c r="AB62" i="4"/>
  <c r="T63" i="4"/>
  <c r="V63" i="4"/>
  <c r="W63" i="4"/>
  <c r="S63" i="4"/>
  <c r="C63" i="4"/>
  <c r="AD63" i="4"/>
  <c r="Z63" i="4"/>
  <c r="AA63" i="4"/>
  <c r="AB66" i="4"/>
  <c r="T67" i="4"/>
  <c r="A67" i="4"/>
  <c r="C67" i="4"/>
  <c r="W67" i="4"/>
  <c r="S67" i="4"/>
  <c r="V67" i="4"/>
  <c r="AA67" i="4"/>
  <c r="AD67" i="4"/>
  <c r="Z67" i="4"/>
  <c r="AB70" i="4"/>
  <c r="T71" i="4"/>
  <c r="A71" i="4"/>
  <c r="C71" i="4"/>
  <c r="W71" i="4"/>
  <c r="S71" i="4"/>
  <c r="V71" i="4"/>
  <c r="AA71" i="4"/>
  <c r="AD71" i="4"/>
  <c r="Z71" i="4"/>
  <c r="AB74" i="4"/>
  <c r="T75" i="4"/>
  <c r="A75" i="4"/>
  <c r="V75" i="4"/>
  <c r="W75" i="4"/>
  <c r="S75" i="4"/>
  <c r="C75" i="4"/>
  <c r="AD75" i="4"/>
  <c r="Z75" i="4"/>
  <c r="AA75" i="4"/>
  <c r="AB78" i="4"/>
  <c r="T79" i="4"/>
  <c r="C79" i="4"/>
  <c r="W79" i="4"/>
  <c r="S79" i="4"/>
  <c r="V79" i="4"/>
  <c r="AA79" i="4"/>
  <c r="AD79" i="4"/>
  <c r="Z79" i="4"/>
  <c r="AB82" i="4"/>
  <c r="T83" i="4"/>
  <c r="C83" i="4"/>
  <c r="W83" i="4"/>
  <c r="S83" i="4"/>
  <c r="V83" i="4"/>
  <c r="AA83" i="4"/>
  <c r="AD83" i="4"/>
  <c r="Z83" i="4"/>
  <c r="AC87" i="4"/>
  <c r="C88" i="4"/>
  <c r="V88" i="4"/>
  <c r="AB90" i="4"/>
  <c r="U91" i="4"/>
  <c r="AC95" i="4"/>
  <c r="C96" i="4"/>
  <c r="V96" i="4"/>
  <c r="AB98" i="4"/>
  <c r="U99" i="4"/>
  <c r="AC103" i="4"/>
  <c r="C104" i="4"/>
  <c r="V104" i="4"/>
  <c r="AC107" i="4"/>
  <c r="C108" i="4"/>
  <c r="AB110" i="4"/>
  <c r="U111" i="4"/>
  <c r="AB114" i="4"/>
  <c r="U115" i="4"/>
  <c r="AB118" i="4"/>
  <c r="U119" i="4"/>
  <c r="AC123" i="4"/>
  <c r="C124" i="4"/>
  <c r="V124" i="4"/>
  <c r="AC127" i="4"/>
  <c r="C128" i="4"/>
  <c r="V128" i="4"/>
  <c r="AB130" i="4"/>
  <c r="U131" i="4"/>
  <c r="U135" i="4"/>
  <c r="AC143" i="4"/>
  <c r="C144" i="4"/>
  <c r="V144" i="4"/>
  <c r="AC147" i="4"/>
  <c r="V148" i="4"/>
  <c r="AB150" i="4"/>
  <c r="U151" i="4"/>
  <c r="AC155" i="4"/>
  <c r="C156" i="4"/>
  <c r="AC159" i="4"/>
  <c r="C160" i="4"/>
  <c r="AC163" i="4"/>
  <c r="C164" i="4"/>
  <c r="AC167" i="4"/>
  <c r="C168" i="4"/>
  <c r="AB170" i="4"/>
  <c r="U171" i="4"/>
  <c r="AB174" i="4"/>
  <c r="AC175" i="4"/>
  <c r="C176" i="4"/>
  <c r="AB178" i="4"/>
  <c r="U179" i="4"/>
  <c r="AB182" i="4"/>
  <c r="U183" i="4"/>
  <c r="AB186" i="4"/>
  <c r="U187" i="4"/>
  <c r="AB190" i="4"/>
  <c r="U191" i="4"/>
  <c r="AB194" i="4"/>
  <c r="U195" i="4"/>
  <c r="AB198" i="4"/>
  <c r="U199" i="4"/>
  <c r="V204" i="4"/>
  <c r="AB206" i="4"/>
  <c r="U207" i="4"/>
  <c r="Z210" i="4"/>
  <c r="T211" i="4"/>
  <c r="V211" i="4"/>
  <c r="W213" i="4"/>
  <c r="S213" i="4"/>
  <c r="V213" i="4"/>
  <c r="AA213" i="4"/>
  <c r="AD213" i="4"/>
  <c r="Z213" i="4"/>
  <c r="T214" i="4"/>
  <c r="A214" i="4"/>
  <c r="W214" i="4"/>
  <c r="S214" i="4"/>
  <c r="AD228" i="4"/>
  <c r="Z228" i="4"/>
  <c r="AC228" i="4"/>
  <c r="W229" i="4"/>
  <c r="S229" i="4"/>
  <c r="V229" i="4"/>
  <c r="C229" i="4"/>
  <c r="T230" i="4"/>
  <c r="A230" i="4"/>
  <c r="W230" i="4"/>
  <c r="S230" i="4"/>
  <c r="C234" i="4"/>
  <c r="C239" i="4"/>
  <c r="AA245" i="4"/>
  <c r="AD245" i="4"/>
  <c r="Z245" i="4"/>
  <c r="AD260" i="4"/>
  <c r="Z260" i="4"/>
  <c r="C260" i="4"/>
  <c r="AC260" i="4"/>
  <c r="B260" i="4"/>
  <c r="W261" i="4"/>
  <c r="S261" i="4"/>
  <c r="V261" i="4"/>
  <c r="C261" i="4"/>
  <c r="B265" i="4"/>
  <c r="AD276" i="4"/>
  <c r="Z276" i="4"/>
  <c r="C276" i="4"/>
  <c r="AC276" i="4"/>
  <c r="B276" i="4"/>
  <c r="W277" i="4"/>
  <c r="S277" i="4"/>
  <c r="V277" i="4"/>
  <c r="C277" i="4"/>
  <c r="B281" i="4"/>
  <c r="AD292" i="4"/>
  <c r="Z292" i="4"/>
  <c r="C292" i="4"/>
  <c r="AC292" i="4"/>
  <c r="W293" i="4"/>
  <c r="S293" i="4"/>
  <c r="V293" i="4"/>
  <c r="C293" i="4"/>
  <c r="T294" i="4"/>
  <c r="A294" i="4"/>
  <c r="W294" i="4"/>
  <c r="S294" i="4"/>
  <c r="C298" i="4"/>
  <c r="AD308" i="4"/>
  <c r="Z308" i="4"/>
  <c r="C308" i="4"/>
  <c r="AC308" i="4"/>
  <c r="B308" i="4"/>
  <c r="W309" i="4"/>
  <c r="S309" i="4"/>
  <c r="V309" i="4"/>
  <c r="C309" i="4"/>
  <c r="C319" i="4"/>
  <c r="AD324" i="4"/>
  <c r="Z324" i="4"/>
  <c r="C324" i="4"/>
  <c r="AC324" i="4"/>
  <c r="W325" i="4"/>
  <c r="S325" i="4"/>
  <c r="V325" i="4"/>
  <c r="C325" i="4"/>
  <c r="B329" i="4"/>
  <c r="AD340" i="4"/>
  <c r="Z340" i="4"/>
  <c r="C340" i="4"/>
  <c r="AC340" i="4"/>
  <c r="B340" i="4"/>
  <c r="A341" i="4"/>
  <c r="AA341" i="4"/>
  <c r="AD341" i="4"/>
  <c r="Z341" i="4"/>
  <c r="B345" i="4"/>
  <c r="AC351" i="4"/>
  <c r="AA353" i="4"/>
  <c r="AD353" i="4"/>
  <c r="Z353" i="4"/>
  <c r="T365" i="4"/>
  <c r="A365" i="4"/>
  <c r="S365" i="4"/>
  <c r="W365" i="4"/>
  <c r="C365" i="4"/>
  <c r="AA376" i="4"/>
  <c r="AB376" i="4"/>
  <c r="B376" i="4"/>
  <c r="Z376" i="4"/>
  <c r="AC378" i="4"/>
  <c r="B378" i="4"/>
  <c r="AA378" i="4"/>
  <c r="C378" i="4"/>
  <c r="Z378" i="4"/>
  <c r="AD387" i="4"/>
  <c r="Z387" i="4"/>
  <c r="AC387" i="4"/>
  <c r="AB387" i="4"/>
  <c r="AA387" i="4"/>
  <c r="W398" i="4"/>
  <c r="S398" i="4"/>
  <c r="U398" i="4"/>
  <c r="A398" i="4"/>
  <c r="T398" i="4"/>
  <c r="V398" i="4"/>
  <c r="AB404" i="4"/>
  <c r="U415" i="4"/>
  <c r="W415" i="4"/>
  <c r="S415" i="4"/>
  <c r="AC423" i="4"/>
  <c r="AA423" i="4"/>
  <c r="AD423" i="4"/>
  <c r="Z423" i="4"/>
  <c r="AD433" i="4"/>
  <c r="Z433" i="4"/>
  <c r="AA433" i="4"/>
  <c r="AB433" i="4"/>
  <c r="AB441" i="4"/>
  <c r="B441" i="4"/>
  <c r="W490" i="4"/>
  <c r="S490" i="4"/>
  <c r="T490" i="4"/>
  <c r="C490" i="4"/>
  <c r="U490" i="4"/>
  <c r="AD513" i="4"/>
  <c r="Z513" i="4"/>
  <c r="AA513" i="4"/>
  <c r="AB513" i="4"/>
  <c r="C516" i="4"/>
  <c r="AA518" i="4"/>
  <c r="AC518" i="4"/>
  <c r="B518" i="4"/>
  <c r="AB518" i="4"/>
  <c r="Z518" i="4"/>
  <c r="AD518" i="4"/>
  <c r="T684" i="4"/>
  <c r="W684" i="4"/>
  <c r="S684" i="4"/>
  <c r="V684" i="4"/>
  <c r="U684" i="4"/>
  <c r="C684" i="4"/>
  <c r="V691" i="4"/>
  <c r="C691" i="4"/>
  <c r="T691" i="4"/>
  <c r="S691" i="4"/>
  <c r="W691" i="4"/>
  <c r="U691" i="4"/>
  <c r="T751" i="4"/>
  <c r="W751" i="4"/>
  <c r="AA805" i="4"/>
  <c r="AD805" i="4"/>
  <c r="Z805" i="4"/>
  <c r="C805" i="4"/>
  <c r="AC805" i="4"/>
  <c r="AB805" i="4"/>
  <c r="W869" i="4"/>
  <c r="S869" i="4"/>
  <c r="V869" i="4"/>
  <c r="C869" i="4"/>
  <c r="T869" i="4"/>
  <c r="A869" i="4"/>
  <c r="U869" i="4"/>
  <c r="U2" i="4"/>
  <c r="AB5" i="4"/>
  <c r="U6" i="4"/>
  <c r="AB9" i="4"/>
  <c r="U10" i="4"/>
  <c r="U14" i="4"/>
  <c r="U26" i="4"/>
  <c r="U34" i="4"/>
  <c r="U42" i="4"/>
  <c r="AB45" i="4"/>
  <c r="U50" i="4"/>
  <c r="AB53" i="4"/>
  <c r="U54" i="4"/>
  <c r="AB57" i="4"/>
  <c r="U58" i="4"/>
  <c r="U62" i="4"/>
  <c r="U66" i="4"/>
  <c r="AB69" i="4"/>
  <c r="U70" i="4"/>
  <c r="AB73" i="4"/>
  <c r="AB77" i="4"/>
  <c r="U78" i="4"/>
  <c r="AB81" i="4"/>
  <c r="AB85" i="4"/>
  <c r="C87" i="4"/>
  <c r="W88" i="4"/>
  <c r="U90" i="4"/>
  <c r="V91" i="4"/>
  <c r="Z91" i="4"/>
  <c r="AD91" i="4"/>
  <c r="S92" i="4"/>
  <c r="AB93" i="4"/>
  <c r="U94" i="4"/>
  <c r="V95" i="4"/>
  <c r="Z95" i="4"/>
  <c r="AD95" i="4"/>
  <c r="S96" i="4"/>
  <c r="AB97" i="4"/>
  <c r="U98" i="4"/>
  <c r="V99" i="4"/>
  <c r="Z99" i="4"/>
  <c r="AD99" i="4"/>
  <c r="S100" i="4"/>
  <c r="AB101" i="4"/>
  <c r="B102" i="4"/>
  <c r="AC102" i="4"/>
  <c r="C103" i="4"/>
  <c r="W104" i="4"/>
  <c r="U106" i="4"/>
  <c r="AB109" i="4"/>
  <c r="V111" i="4"/>
  <c r="Z111" i="4"/>
  <c r="AD111" i="4"/>
  <c r="S112" i="4"/>
  <c r="B114" i="4"/>
  <c r="V115" i="4"/>
  <c r="Z115" i="4"/>
  <c r="AD115" i="4"/>
  <c r="S116" i="4"/>
  <c r="AB117" i="4"/>
  <c r="U118" i="4"/>
  <c r="V119" i="4"/>
  <c r="Z119" i="4"/>
  <c r="AD119" i="4"/>
  <c r="S120" i="4"/>
  <c r="W120" i="4"/>
  <c r="U122" i="4"/>
  <c r="AC122" i="4"/>
  <c r="C123" i="4"/>
  <c r="W124" i="4"/>
  <c r="U126" i="4"/>
  <c r="W128" i="4"/>
  <c r="U130" i="4"/>
  <c r="AC130" i="4"/>
  <c r="C131" i="4"/>
  <c r="W132" i="4"/>
  <c r="AC134" i="4"/>
  <c r="C135" i="4"/>
  <c r="W136" i="4"/>
  <c r="U138" i="4"/>
  <c r="B142" i="4"/>
  <c r="V143" i="4"/>
  <c r="Z143" i="4"/>
  <c r="AD143" i="4"/>
  <c r="S144" i="4"/>
  <c r="AB145" i="4"/>
  <c r="B146" i="4"/>
  <c r="V147" i="4"/>
  <c r="Z147" i="4"/>
  <c r="AD147" i="4"/>
  <c r="S148" i="4"/>
  <c r="AB149" i="4"/>
  <c r="U150" i="4"/>
  <c r="V151" i="4"/>
  <c r="Z151" i="4"/>
  <c r="AD151" i="4"/>
  <c r="S152" i="4"/>
  <c r="W152" i="4"/>
  <c r="AC154" i="4"/>
  <c r="C155" i="4"/>
  <c r="W156" i="4"/>
  <c r="AB157" i="4"/>
  <c r="B158" i="4"/>
  <c r="AC158" i="4"/>
  <c r="C159" i="4"/>
  <c r="W160" i="4"/>
  <c r="AB161" i="4"/>
  <c r="B162" i="4"/>
  <c r="AC162" i="4"/>
  <c r="C163" i="4"/>
  <c r="AB165" i="4"/>
  <c r="U166" i="4"/>
  <c r="V167" i="4"/>
  <c r="Z167" i="4"/>
  <c r="AD167" i="4"/>
  <c r="S168" i="4"/>
  <c r="AB169" i="4"/>
  <c r="V171" i="4"/>
  <c r="Z171" i="4"/>
  <c r="AD171" i="4"/>
  <c r="S172" i="4"/>
  <c r="AB173" i="4"/>
  <c r="U174" i="4"/>
  <c r="V175" i="4"/>
  <c r="Z175" i="4"/>
  <c r="AD175" i="4"/>
  <c r="S176" i="4"/>
  <c r="AB177" i="4"/>
  <c r="B178" i="4"/>
  <c r="AC178" i="4"/>
  <c r="C179" i="4"/>
  <c r="V179" i="4"/>
  <c r="Z179" i="4"/>
  <c r="AD179" i="4"/>
  <c r="S180" i="4"/>
  <c r="W180" i="4"/>
  <c r="AB181" i="4"/>
  <c r="AC182" i="4"/>
  <c r="C183" i="4"/>
  <c r="W184" i="4"/>
  <c r="B186" i="4"/>
  <c r="AC186" i="4"/>
  <c r="C187" i="4"/>
  <c r="W188" i="4"/>
  <c r="B190" i="4"/>
  <c r="AC190" i="4"/>
  <c r="C191" i="4"/>
  <c r="W192" i="4"/>
  <c r="AC194" i="4"/>
  <c r="W196" i="4"/>
  <c r="U198" i="4"/>
  <c r="V199" i="4"/>
  <c r="Z199" i="4"/>
  <c r="AD199" i="4"/>
  <c r="S200" i="4"/>
  <c r="AB201" i="4"/>
  <c r="U202" i="4"/>
  <c r="AC202" i="4"/>
  <c r="C203" i="4"/>
  <c r="AB205" i="4"/>
  <c r="U206" i="4"/>
  <c r="Z207" i="4"/>
  <c r="A209" i="4"/>
  <c r="AA209" i="4"/>
  <c r="V210" i="4"/>
  <c r="W211" i="4"/>
  <c r="AB217" i="4"/>
  <c r="U218" i="4"/>
  <c r="C219" i="4"/>
  <c r="S223" i="4"/>
  <c r="AD224" i="4"/>
  <c r="Z224" i="4"/>
  <c r="C224" i="4"/>
  <c r="AC224" i="4"/>
  <c r="B224" i="4"/>
  <c r="W225" i="4"/>
  <c r="S225" i="4"/>
  <c r="V225" i="4"/>
  <c r="C225" i="4"/>
  <c r="T226" i="4"/>
  <c r="W226" i="4"/>
  <c r="S226" i="4"/>
  <c r="B229" i="4"/>
  <c r="AB233" i="4"/>
  <c r="Z234" i="4"/>
  <c r="S239" i="4"/>
  <c r="AD240" i="4"/>
  <c r="Z240" i="4"/>
  <c r="C240" i="4"/>
  <c r="AC240" i="4"/>
  <c r="B240" i="4"/>
  <c r="W241" i="4"/>
  <c r="S241" i="4"/>
  <c r="V241" i="4"/>
  <c r="C241" i="4"/>
  <c r="T242" i="4"/>
  <c r="A242" i="4"/>
  <c r="W242" i="4"/>
  <c r="S242" i="4"/>
  <c r="C246" i="4"/>
  <c r="AB249" i="4"/>
  <c r="U250" i="4"/>
  <c r="AA257" i="4"/>
  <c r="AD257" i="4"/>
  <c r="Z257" i="4"/>
  <c r="AB265" i="4"/>
  <c r="AD272" i="4"/>
  <c r="Z272" i="4"/>
  <c r="C272" i="4"/>
  <c r="AC272" i="4"/>
  <c r="AA273" i="4"/>
  <c r="AD273" i="4"/>
  <c r="Z273" i="4"/>
  <c r="U282" i="4"/>
  <c r="Z282" i="4"/>
  <c r="S287" i="4"/>
  <c r="AA289" i="4"/>
  <c r="AD289" i="4"/>
  <c r="Z289" i="4"/>
  <c r="C294" i="4"/>
  <c r="U298" i="4"/>
  <c r="Z298" i="4"/>
  <c r="AD304" i="4"/>
  <c r="Z304" i="4"/>
  <c r="C304" i="4"/>
  <c r="AC304" i="4"/>
  <c r="W305" i="4"/>
  <c r="S305" i="4"/>
  <c r="V305" i="4"/>
  <c r="C305" i="4"/>
  <c r="T306" i="4"/>
  <c r="A306" i="4"/>
  <c r="W306" i="4"/>
  <c r="S306" i="4"/>
  <c r="U314" i="4"/>
  <c r="Z314" i="4"/>
  <c r="AD320" i="4"/>
  <c r="Z320" i="4"/>
  <c r="C320" i="4"/>
  <c r="AC320" i="4"/>
  <c r="B320" i="4"/>
  <c r="W321" i="4"/>
  <c r="S321" i="4"/>
  <c r="V321" i="4"/>
  <c r="C321" i="4"/>
  <c r="T322" i="4"/>
  <c r="A322" i="4"/>
  <c r="W322" i="4"/>
  <c r="S322" i="4"/>
  <c r="C326" i="4"/>
  <c r="Z330" i="4"/>
  <c r="AD336" i="4"/>
  <c r="Z336" i="4"/>
  <c r="C336" i="4"/>
  <c r="AC336" i="4"/>
  <c r="B336" i="4"/>
  <c r="AA337" i="4"/>
  <c r="AD337" i="4"/>
  <c r="Z337" i="4"/>
  <c r="AB345" i="4"/>
  <c r="C354" i="4"/>
  <c r="U358" i="4"/>
  <c r="T381" i="4"/>
  <c r="A381" i="4"/>
  <c r="S381" i="4"/>
  <c r="W381" i="4"/>
  <c r="C381" i="4"/>
  <c r="V383" i="4"/>
  <c r="C383" i="4"/>
  <c r="U383" i="4"/>
  <c r="S383" i="4"/>
  <c r="AA389" i="4"/>
  <c r="AC389" i="4"/>
  <c r="Z389" i="4"/>
  <c r="T396" i="4"/>
  <c r="S396" i="4"/>
  <c r="W396" i="4"/>
  <c r="V396" i="4"/>
  <c r="C398" i="4"/>
  <c r="AC400" i="4"/>
  <c r="B400" i="4"/>
  <c r="Z400" i="4"/>
  <c r="AD400" i="4"/>
  <c r="AA400" i="4"/>
  <c r="C400" i="4"/>
  <c r="T411" i="4"/>
  <c r="A411" i="4"/>
  <c r="U411" i="4"/>
  <c r="S411" i="4"/>
  <c r="V411" i="4"/>
  <c r="C411" i="4"/>
  <c r="AA414" i="4"/>
  <c r="Z414" i="4"/>
  <c r="AD414" i="4"/>
  <c r="AB414" i="4"/>
  <c r="C414" i="4"/>
  <c r="V416" i="4"/>
  <c r="T416" i="4"/>
  <c r="W416" i="4"/>
  <c r="U418" i="4"/>
  <c r="A418" i="4"/>
  <c r="V427" i="4"/>
  <c r="AC436" i="4"/>
  <c r="B436" i="4"/>
  <c r="AA436" i="4"/>
  <c r="C436" i="4"/>
  <c r="Z436" i="4"/>
  <c r="AB436" i="4"/>
  <c r="U450" i="4"/>
  <c r="A450" i="4"/>
  <c r="T450" i="4"/>
  <c r="AC455" i="4"/>
  <c r="AA455" i="4"/>
  <c r="AD455" i="4"/>
  <c r="U463" i="4"/>
  <c r="W463" i="4"/>
  <c r="S463" i="4"/>
  <c r="U479" i="4"/>
  <c r="W479" i="4"/>
  <c r="AA494" i="4"/>
  <c r="Z494" i="4"/>
  <c r="AD494" i="4"/>
  <c r="AB494" i="4"/>
  <c r="C494" i="4"/>
  <c r="B494" i="4"/>
  <c r="C496" i="4"/>
  <c r="C498" i="4"/>
  <c r="T503" i="4"/>
  <c r="S503" i="4"/>
  <c r="W503" i="4"/>
  <c r="C503" i="4"/>
  <c r="V503" i="4"/>
  <c r="U503" i="4"/>
  <c r="T508" i="4"/>
  <c r="S508" i="4"/>
  <c r="A508" i="4"/>
  <c r="W508" i="4"/>
  <c r="AA526" i="4"/>
  <c r="AD526" i="4"/>
  <c r="Z526" i="4"/>
  <c r="C526" i="4"/>
  <c r="AC526" i="4"/>
  <c r="B526" i="4"/>
  <c r="AB526" i="4"/>
  <c r="AC530" i="4"/>
  <c r="AA530" i="4"/>
  <c r="Z530" i="4"/>
  <c r="C530" i="4"/>
  <c r="AD530" i="4"/>
  <c r="AB530" i="4"/>
  <c r="AD547" i="4"/>
  <c r="Z547" i="4"/>
  <c r="AB547" i="4"/>
  <c r="B547" i="4"/>
  <c r="AA547" i="4"/>
  <c r="AC547" i="4"/>
  <c r="V555" i="4"/>
  <c r="C555" i="4"/>
  <c r="T555" i="4"/>
  <c r="S555" i="4"/>
  <c r="W555" i="4"/>
  <c r="U555" i="4"/>
  <c r="A555" i="4"/>
  <c r="AD579" i="4"/>
  <c r="Z579" i="4"/>
  <c r="AB579" i="4"/>
  <c r="B579" i="4"/>
  <c r="AA579" i="4"/>
  <c r="AC579" i="4"/>
  <c r="AA592" i="4"/>
  <c r="AB592" i="4"/>
  <c r="B592" i="4"/>
  <c r="Z592" i="4"/>
  <c r="AD592" i="4"/>
  <c r="C592" i="4"/>
  <c r="AC592" i="4"/>
  <c r="AC594" i="4"/>
  <c r="B594" i="4"/>
  <c r="AA594" i="4"/>
  <c r="C594" i="4"/>
  <c r="Z594" i="4"/>
  <c r="AD594" i="4"/>
  <c r="AB594" i="4"/>
  <c r="AB654" i="4"/>
  <c r="B654" i="4"/>
  <c r="AA654" i="4"/>
  <c r="AB655" i="4"/>
  <c r="AD682" i="4"/>
  <c r="Z682" i="4"/>
  <c r="AC682" i="4"/>
  <c r="B682" i="4"/>
  <c r="AB682" i="4"/>
  <c r="AA682" i="4"/>
  <c r="V2" i="4"/>
  <c r="AB4" i="4"/>
  <c r="U5" i="4"/>
  <c r="AB8" i="4"/>
  <c r="B9" i="4"/>
  <c r="U9" i="4"/>
  <c r="AC9" i="4"/>
  <c r="C10" i="4"/>
  <c r="V10" i="4"/>
  <c r="AB12" i="4"/>
  <c r="B13" i="4"/>
  <c r="U13" i="4"/>
  <c r="AC13" i="4"/>
  <c r="C14" i="4"/>
  <c r="V14" i="4"/>
  <c r="AB16" i="4"/>
  <c r="U17" i="4"/>
  <c r="AC17" i="4"/>
  <c r="C18" i="4"/>
  <c r="V18" i="4"/>
  <c r="AB20" i="4"/>
  <c r="B21" i="4"/>
  <c r="U21" i="4"/>
  <c r="AC21" i="4"/>
  <c r="C22" i="4"/>
  <c r="V22" i="4"/>
  <c r="AB24" i="4"/>
  <c r="B25" i="4"/>
  <c r="U25" i="4"/>
  <c r="AC25" i="4"/>
  <c r="C26" i="4"/>
  <c r="V26" i="4"/>
  <c r="AB28" i="4"/>
  <c r="U29" i="4"/>
  <c r="AC29" i="4"/>
  <c r="C30" i="4"/>
  <c r="V30" i="4"/>
  <c r="AB32" i="4"/>
  <c r="U33" i="4"/>
  <c r="AC33" i="4"/>
  <c r="V34" i="4"/>
  <c r="AB36" i="4"/>
  <c r="B37" i="4"/>
  <c r="U37" i="4"/>
  <c r="AC37" i="4"/>
  <c r="C38" i="4"/>
  <c r="V38" i="4"/>
  <c r="AB40" i="4"/>
  <c r="B41" i="4"/>
  <c r="U41" i="4"/>
  <c r="AC41" i="4"/>
  <c r="C42" i="4"/>
  <c r="V42" i="4"/>
  <c r="AB44" i="4"/>
  <c r="U45" i="4"/>
  <c r="AC45" i="4"/>
  <c r="C46" i="4"/>
  <c r="V46" i="4"/>
  <c r="AB48" i="4"/>
  <c r="U49" i="4"/>
  <c r="AC49" i="4"/>
  <c r="C50" i="4"/>
  <c r="V50" i="4"/>
  <c r="AB52" i="4"/>
  <c r="B53" i="4"/>
  <c r="U53" i="4"/>
  <c r="AC53" i="4"/>
  <c r="C54" i="4"/>
  <c r="V54" i="4"/>
  <c r="AB56" i="4"/>
  <c r="B57" i="4"/>
  <c r="U57" i="4"/>
  <c r="AC57" i="4"/>
  <c r="C58" i="4"/>
  <c r="V58" i="4"/>
  <c r="AB60" i="4"/>
  <c r="B61" i="4"/>
  <c r="U61" i="4"/>
  <c r="AC61" i="4"/>
  <c r="C62" i="4"/>
  <c r="V62" i="4"/>
  <c r="AB64" i="4"/>
  <c r="U65" i="4"/>
  <c r="AC65" i="4"/>
  <c r="C66" i="4"/>
  <c r="V66" i="4"/>
  <c r="AB68" i="4"/>
  <c r="B69" i="4"/>
  <c r="U69" i="4"/>
  <c r="AC69" i="4"/>
  <c r="C70" i="4"/>
  <c r="V70" i="4"/>
  <c r="AB72" i="4"/>
  <c r="U73" i="4"/>
  <c r="AC73" i="4"/>
  <c r="C74" i="4"/>
  <c r="V74" i="4"/>
  <c r="AB76" i="4"/>
  <c r="B77" i="4"/>
  <c r="U77" i="4"/>
  <c r="AC77" i="4"/>
  <c r="C78" i="4"/>
  <c r="V78" i="4"/>
  <c r="AB80" i="4"/>
  <c r="U81" i="4"/>
  <c r="AC81" i="4"/>
  <c r="C82" i="4"/>
  <c r="V82" i="4"/>
  <c r="AB84" i="4"/>
  <c r="U85" i="4"/>
  <c r="AC85" i="4"/>
  <c r="C86" i="4"/>
  <c r="V86" i="4"/>
  <c r="S87" i="4"/>
  <c r="W87" i="4"/>
  <c r="AA87" i="4"/>
  <c r="A88" i="4"/>
  <c r="T88" i="4"/>
  <c r="AB88" i="4"/>
  <c r="B89" i="4"/>
  <c r="U89" i="4"/>
  <c r="AC89" i="4"/>
  <c r="C90" i="4"/>
  <c r="V90" i="4"/>
  <c r="Z90" i="4"/>
  <c r="AD90" i="4"/>
  <c r="S91" i="4"/>
  <c r="W91" i="4"/>
  <c r="AA91" i="4"/>
  <c r="A92" i="4"/>
  <c r="T92" i="4"/>
  <c r="AB92" i="4"/>
  <c r="B93" i="4"/>
  <c r="U93" i="4"/>
  <c r="AC93" i="4"/>
  <c r="C94" i="4"/>
  <c r="V94" i="4"/>
  <c r="Z94" i="4"/>
  <c r="AD94" i="4"/>
  <c r="S95" i="4"/>
  <c r="W95" i="4"/>
  <c r="A96" i="4"/>
  <c r="T96" i="4"/>
  <c r="AB96" i="4"/>
  <c r="B97" i="4"/>
  <c r="U97" i="4"/>
  <c r="AC97" i="4"/>
  <c r="C98" i="4"/>
  <c r="V98" i="4"/>
  <c r="Z98" i="4"/>
  <c r="AD98" i="4"/>
  <c r="S99" i="4"/>
  <c r="W99" i="4"/>
  <c r="AA99" i="4"/>
  <c r="A100" i="4"/>
  <c r="T100" i="4"/>
  <c r="AB100" i="4"/>
  <c r="U101" i="4"/>
  <c r="AC101" i="4"/>
  <c r="C102" i="4"/>
  <c r="V102" i="4"/>
  <c r="Z102" i="4"/>
  <c r="AD102" i="4"/>
  <c r="S103" i="4"/>
  <c r="W103" i="4"/>
  <c r="AA103" i="4"/>
  <c r="A104" i="4"/>
  <c r="T104" i="4"/>
  <c r="AB104" i="4"/>
  <c r="B105" i="4"/>
  <c r="U105" i="4"/>
  <c r="AC105" i="4"/>
  <c r="C106" i="4"/>
  <c r="V106" i="4"/>
  <c r="Z106" i="4"/>
  <c r="AD106" i="4"/>
  <c r="S107" i="4"/>
  <c r="W107" i="4"/>
  <c r="AA107" i="4"/>
  <c r="T108" i="4"/>
  <c r="AB108" i="4"/>
  <c r="B109" i="4"/>
  <c r="U109" i="4"/>
  <c r="AC109" i="4"/>
  <c r="C110" i="4"/>
  <c r="V110" i="4"/>
  <c r="Z110" i="4"/>
  <c r="AD110" i="4"/>
  <c r="S111" i="4"/>
  <c r="W111" i="4"/>
  <c r="AA111" i="4"/>
  <c r="A112" i="4"/>
  <c r="T112" i="4"/>
  <c r="AB112" i="4"/>
  <c r="B113" i="4"/>
  <c r="U113" i="4"/>
  <c r="AC113" i="4"/>
  <c r="C114" i="4"/>
  <c r="V114" i="4"/>
  <c r="Z114" i="4"/>
  <c r="AD114" i="4"/>
  <c r="S115" i="4"/>
  <c r="W115" i="4"/>
  <c r="AA115" i="4"/>
  <c r="A116" i="4"/>
  <c r="T116" i="4"/>
  <c r="AB116" i="4"/>
  <c r="B117" i="4"/>
  <c r="U117" i="4"/>
  <c r="AC117" i="4"/>
  <c r="C118" i="4"/>
  <c r="V118" i="4"/>
  <c r="Z118" i="4"/>
  <c r="AD118" i="4"/>
  <c r="S119" i="4"/>
  <c r="W119" i="4"/>
  <c r="AA119" i="4"/>
  <c r="A120" i="4"/>
  <c r="T120" i="4"/>
  <c r="AB120" i="4"/>
  <c r="B121" i="4"/>
  <c r="U121" i="4"/>
  <c r="AC121" i="4"/>
  <c r="C122" i="4"/>
  <c r="V122" i="4"/>
  <c r="Z122" i="4"/>
  <c r="AD122" i="4"/>
  <c r="S123" i="4"/>
  <c r="W123" i="4"/>
  <c r="AA123" i="4"/>
  <c r="A124" i="4"/>
  <c r="T124" i="4"/>
  <c r="AB124" i="4"/>
  <c r="B125" i="4"/>
  <c r="U125" i="4"/>
  <c r="AC125" i="4"/>
  <c r="C126" i="4"/>
  <c r="V126" i="4"/>
  <c r="Z126" i="4"/>
  <c r="AD126" i="4"/>
  <c r="S127" i="4"/>
  <c r="W127" i="4"/>
  <c r="AA127" i="4"/>
  <c r="A128" i="4"/>
  <c r="T128" i="4"/>
  <c r="AB128" i="4"/>
  <c r="B129" i="4"/>
  <c r="U129" i="4"/>
  <c r="AC129" i="4"/>
  <c r="C130" i="4"/>
  <c r="V130" i="4"/>
  <c r="Z130" i="4"/>
  <c r="AD130" i="4"/>
  <c r="S131" i="4"/>
  <c r="W131" i="4"/>
  <c r="AA131" i="4"/>
  <c r="A132" i="4"/>
  <c r="T132" i="4"/>
  <c r="AB132" i="4"/>
  <c r="B133" i="4"/>
  <c r="U133" i="4"/>
  <c r="AC133" i="4"/>
  <c r="C134" i="4"/>
  <c r="V134" i="4"/>
  <c r="Z134" i="4"/>
  <c r="AD134" i="4"/>
  <c r="S135" i="4"/>
  <c r="W135" i="4"/>
  <c r="AA135" i="4"/>
  <c r="A136" i="4"/>
  <c r="T136" i="4"/>
  <c r="AB136" i="4"/>
  <c r="U137" i="4"/>
  <c r="AC137" i="4"/>
  <c r="C138" i="4"/>
  <c r="V138" i="4"/>
  <c r="Z138" i="4"/>
  <c r="AD138" i="4"/>
  <c r="S139" i="4"/>
  <c r="W139" i="4"/>
  <c r="AA139" i="4"/>
  <c r="A140" i="4"/>
  <c r="T140" i="4"/>
  <c r="AB140" i="4"/>
  <c r="B141" i="4"/>
  <c r="U141" i="4"/>
  <c r="AC141" i="4"/>
  <c r="C142" i="4"/>
  <c r="V142" i="4"/>
  <c r="Z142" i="4"/>
  <c r="AD142" i="4"/>
  <c r="S143" i="4"/>
  <c r="W143" i="4"/>
  <c r="A144" i="4"/>
  <c r="T144" i="4"/>
  <c r="AB144" i="4"/>
  <c r="B145" i="4"/>
  <c r="U145" i="4"/>
  <c r="AC145" i="4"/>
  <c r="C146" i="4"/>
  <c r="V146" i="4"/>
  <c r="Z146" i="4"/>
  <c r="AD146" i="4"/>
  <c r="S147" i="4"/>
  <c r="W147" i="4"/>
  <c r="T148" i="4"/>
  <c r="AB148" i="4"/>
  <c r="B149" i="4"/>
  <c r="U149" i="4"/>
  <c r="AC149" i="4"/>
  <c r="C150" i="4"/>
  <c r="V150" i="4"/>
  <c r="Z150" i="4"/>
  <c r="AD150" i="4"/>
  <c r="S151" i="4"/>
  <c r="W151" i="4"/>
  <c r="AA151" i="4"/>
  <c r="A152" i="4"/>
  <c r="T152" i="4"/>
  <c r="AB152" i="4"/>
  <c r="B153" i="4"/>
  <c r="U153" i="4"/>
  <c r="AC153" i="4"/>
  <c r="C154" i="4"/>
  <c r="V154" i="4"/>
  <c r="Z154" i="4"/>
  <c r="AD154" i="4"/>
  <c r="S155" i="4"/>
  <c r="W155" i="4"/>
  <c r="AA155" i="4"/>
  <c r="A156" i="4"/>
  <c r="T156" i="4"/>
  <c r="AB156" i="4"/>
  <c r="U157" i="4"/>
  <c r="AC157" i="4"/>
  <c r="C158" i="4"/>
  <c r="V158" i="4"/>
  <c r="Z158" i="4"/>
  <c r="AD158" i="4"/>
  <c r="S159" i="4"/>
  <c r="W159" i="4"/>
  <c r="AA159" i="4"/>
  <c r="A160" i="4"/>
  <c r="T160" i="4"/>
  <c r="AB160" i="4"/>
  <c r="B161" i="4"/>
  <c r="U161" i="4"/>
  <c r="AC161" i="4"/>
  <c r="C162" i="4"/>
  <c r="V162" i="4"/>
  <c r="Z162" i="4"/>
  <c r="AD162" i="4"/>
  <c r="S163" i="4"/>
  <c r="W163" i="4"/>
  <c r="AA163" i="4"/>
  <c r="A164" i="4"/>
  <c r="T164" i="4"/>
  <c r="AB164" i="4"/>
  <c r="U165" i="4"/>
  <c r="AC165" i="4"/>
  <c r="C166" i="4"/>
  <c r="V166" i="4"/>
  <c r="Z166" i="4"/>
  <c r="AD166" i="4"/>
  <c r="S167" i="4"/>
  <c r="W167" i="4"/>
  <c r="A168" i="4"/>
  <c r="T168" i="4"/>
  <c r="AB168" i="4"/>
  <c r="B169" i="4"/>
  <c r="U169" i="4"/>
  <c r="AC169" i="4"/>
  <c r="C170" i="4"/>
  <c r="V170" i="4"/>
  <c r="Z170" i="4"/>
  <c r="AD170" i="4"/>
  <c r="S171" i="4"/>
  <c r="W171" i="4"/>
  <c r="AA171" i="4"/>
  <c r="A172" i="4"/>
  <c r="T172" i="4"/>
  <c r="AB172" i="4"/>
  <c r="U173" i="4"/>
  <c r="AC173" i="4"/>
  <c r="C174" i="4"/>
  <c r="V174" i="4"/>
  <c r="Z174" i="4"/>
  <c r="AD174" i="4"/>
  <c r="S175" i="4"/>
  <c r="W175" i="4"/>
  <c r="A176" i="4"/>
  <c r="T176" i="4"/>
  <c r="AB176" i="4"/>
  <c r="B177" i="4"/>
  <c r="U177" i="4"/>
  <c r="AC177" i="4"/>
  <c r="C178" i="4"/>
  <c r="V178" i="4"/>
  <c r="Z178" i="4"/>
  <c r="AD178" i="4"/>
  <c r="S179" i="4"/>
  <c r="W179" i="4"/>
  <c r="AA179" i="4"/>
  <c r="A180" i="4"/>
  <c r="T180" i="4"/>
  <c r="AB180" i="4"/>
  <c r="U181" i="4"/>
  <c r="AC181" i="4"/>
  <c r="C182" i="4"/>
  <c r="V182" i="4"/>
  <c r="Z182" i="4"/>
  <c r="AD182" i="4"/>
  <c r="S183" i="4"/>
  <c r="W183" i="4"/>
  <c r="AA183" i="4"/>
  <c r="A184" i="4"/>
  <c r="T184" i="4"/>
  <c r="AB184" i="4"/>
  <c r="B185" i="4"/>
  <c r="U185" i="4"/>
  <c r="AC185" i="4"/>
  <c r="C186" i="4"/>
  <c r="V186" i="4"/>
  <c r="Z186" i="4"/>
  <c r="AD186" i="4"/>
  <c r="S187" i="4"/>
  <c r="W187" i="4"/>
  <c r="AA187" i="4"/>
  <c r="A188" i="4"/>
  <c r="T188" i="4"/>
  <c r="AB188" i="4"/>
  <c r="U189" i="4"/>
  <c r="AC189" i="4"/>
  <c r="C190" i="4"/>
  <c r="V190" i="4"/>
  <c r="Z190" i="4"/>
  <c r="AD190" i="4"/>
  <c r="S191" i="4"/>
  <c r="W191" i="4"/>
  <c r="AA191" i="4"/>
  <c r="A192" i="4"/>
  <c r="T192" i="4"/>
  <c r="AB192" i="4"/>
  <c r="B193" i="4"/>
  <c r="U193" i="4"/>
  <c r="AC193" i="4"/>
  <c r="C194" i="4"/>
  <c r="V194" i="4"/>
  <c r="Z194" i="4"/>
  <c r="AD194" i="4"/>
  <c r="S195" i="4"/>
  <c r="W195" i="4"/>
  <c r="AA195" i="4"/>
  <c r="A196" i="4"/>
  <c r="T196" i="4"/>
  <c r="AB196" i="4"/>
  <c r="U197" i="4"/>
  <c r="AC197" i="4"/>
  <c r="C198" i="4"/>
  <c r="V198" i="4"/>
  <c r="Z198" i="4"/>
  <c r="AD198" i="4"/>
  <c r="S199" i="4"/>
  <c r="W199" i="4"/>
  <c r="AA199" i="4"/>
  <c r="A200" i="4"/>
  <c r="T200" i="4"/>
  <c r="AB200" i="4"/>
  <c r="U201" i="4"/>
  <c r="AC201" i="4"/>
  <c r="V202" i="4"/>
  <c r="Z202" i="4"/>
  <c r="AD202" i="4"/>
  <c r="S203" i="4"/>
  <c r="W203" i="4"/>
  <c r="AA203" i="4"/>
  <c r="A204" i="4"/>
  <c r="T204" i="4"/>
  <c r="AB204" i="4"/>
  <c r="B205" i="4"/>
  <c r="U205" i="4"/>
  <c r="AC205" i="4"/>
  <c r="V206" i="4"/>
  <c r="Z206" i="4"/>
  <c r="AD206" i="4"/>
  <c r="S207" i="4"/>
  <c r="W207" i="4"/>
  <c r="AA207" i="4"/>
  <c r="W208" i="4"/>
  <c r="B209" i="4"/>
  <c r="AA210" i="4"/>
  <c r="AC210" i="4"/>
  <c r="S211" i="4"/>
  <c r="S212" i="4"/>
  <c r="AC212" i="4"/>
  <c r="B212" i="4"/>
  <c r="AB212" i="4"/>
  <c r="T213" i="4"/>
  <c r="AB213" i="4"/>
  <c r="U214" i="4"/>
  <c r="Z214" i="4"/>
  <c r="AC218" i="4"/>
  <c r="S219" i="4"/>
  <c r="AD220" i="4"/>
  <c r="Z220" i="4"/>
  <c r="C220" i="4"/>
  <c r="AC220" i="4"/>
  <c r="B220" i="4"/>
  <c r="W221" i="4"/>
  <c r="S221" i="4"/>
  <c r="V221" i="4"/>
  <c r="C221" i="4"/>
  <c r="AA221" i="4"/>
  <c r="AD221" i="4"/>
  <c r="Z221" i="4"/>
  <c r="T222" i="4"/>
  <c r="A222" i="4"/>
  <c r="W222" i="4"/>
  <c r="S222" i="4"/>
  <c r="V223" i="4"/>
  <c r="C226" i="4"/>
  <c r="AA228" i="4"/>
  <c r="T229" i="4"/>
  <c r="U230" i="4"/>
  <c r="Z230" i="4"/>
  <c r="AC233" i="4"/>
  <c r="V234" i="4"/>
  <c r="AC234" i="4"/>
  <c r="S235" i="4"/>
  <c r="AD236" i="4"/>
  <c r="Z236" i="4"/>
  <c r="C236" i="4"/>
  <c r="AC236" i="4"/>
  <c r="B236" i="4"/>
  <c r="W237" i="4"/>
  <c r="S237" i="4"/>
  <c r="V237" i="4"/>
  <c r="C237" i="4"/>
  <c r="AA237" i="4"/>
  <c r="AD237" i="4"/>
  <c r="Z237" i="4"/>
  <c r="T238" i="4"/>
  <c r="A238" i="4"/>
  <c r="W238" i="4"/>
  <c r="S238" i="4"/>
  <c r="V239" i="4"/>
  <c r="C242" i="4"/>
  <c r="AB245" i="4"/>
  <c r="Z246" i="4"/>
  <c r="V250" i="4"/>
  <c r="AC250" i="4"/>
  <c r="S251" i="4"/>
  <c r="AD252" i="4"/>
  <c r="Z252" i="4"/>
  <c r="C252" i="4"/>
  <c r="AC252" i="4"/>
  <c r="B252" i="4"/>
  <c r="W253" i="4"/>
  <c r="S253" i="4"/>
  <c r="V253" i="4"/>
  <c r="C253" i="4"/>
  <c r="AA253" i="4"/>
  <c r="AD253" i="4"/>
  <c r="Z253" i="4"/>
  <c r="T254" i="4"/>
  <c r="A254" i="4"/>
  <c r="W254" i="4"/>
  <c r="S254" i="4"/>
  <c r="V255" i="4"/>
  <c r="B257" i="4"/>
  <c r="AA260" i="4"/>
  <c r="T261" i="4"/>
  <c r="Z262" i="4"/>
  <c r="V266" i="4"/>
  <c r="AC266" i="4"/>
  <c r="S267" i="4"/>
  <c r="AD268" i="4"/>
  <c r="Z268" i="4"/>
  <c r="C268" i="4"/>
  <c r="AC268" i="4"/>
  <c r="B268" i="4"/>
  <c r="W269" i="4"/>
  <c r="S269" i="4"/>
  <c r="V269" i="4"/>
  <c r="C269" i="4"/>
  <c r="AA269" i="4"/>
  <c r="AD269" i="4"/>
  <c r="Z269" i="4"/>
  <c r="T270" i="4"/>
  <c r="A270" i="4"/>
  <c r="W270" i="4"/>
  <c r="S270" i="4"/>
  <c r="V271" i="4"/>
  <c r="B273" i="4"/>
  <c r="AA276" i="4"/>
  <c r="T277" i="4"/>
  <c r="Z278" i="4"/>
  <c r="AB280" i="4"/>
  <c r="AC281" i="4"/>
  <c r="AC282" i="4"/>
  <c r="S283" i="4"/>
  <c r="AD284" i="4"/>
  <c r="Z284" i="4"/>
  <c r="C284" i="4"/>
  <c r="AC284" i="4"/>
  <c r="B284" i="4"/>
  <c r="W285" i="4"/>
  <c r="S285" i="4"/>
  <c r="V285" i="4"/>
  <c r="C285" i="4"/>
  <c r="AA285" i="4"/>
  <c r="AD285" i="4"/>
  <c r="Z285" i="4"/>
  <c r="T286" i="4"/>
  <c r="A286" i="4"/>
  <c r="W286" i="4"/>
  <c r="S286" i="4"/>
  <c r="V287" i="4"/>
  <c r="AA292" i="4"/>
  <c r="T293" i="4"/>
  <c r="U294" i="4"/>
  <c r="Z294" i="4"/>
  <c r="AC297" i="4"/>
  <c r="AC298" i="4"/>
  <c r="S299" i="4"/>
  <c r="AD300" i="4"/>
  <c r="Z300" i="4"/>
  <c r="C300" i="4"/>
  <c r="AC300" i="4"/>
  <c r="B300" i="4"/>
  <c r="W301" i="4"/>
  <c r="S301" i="4"/>
  <c r="V301" i="4"/>
  <c r="C301" i="4"/>
  <c r="AA301" i="4"/>
  <c r="AD301" i="4"/>
  <c r="Z301" i="4"/>
  <c r="T302" i="4"/>
  <c r="A302" i="4"/>
  <c r="W302" i="4"/>
  <c r="S302" i="4"/>
  <c r="V303" i="4"/>
  <c r="C306" i="4"/>
  <c r="AA308" i="4"/>
  <c r="T309" i="4"/>
  <c r="Z310" i="4"/>
  <c r="AB312" i="4"/>
  <c r="AC313" i="4"/>
  <c r="AC314" i="4"/>
  <c r="S315" i="4"/>
  <c r="AD316" i="4"/>
  <c r="Z316" i="4"/>
  <c r="C316" i="4"/>
  <c r="AC316" i="4"/>
  <c r="B316" i="4"/>
  <c r="W317" i="4"/>
  <c r="S317" i="4"/>
  <c r="V317" i="4"/>
  <c r="C317" i="4"/>
  <c r="AA317" i="4"/>
  <c r="AD317" i="4"/>
  <c r="Z317" i="4"/>
  <c r="T318" i="4"/>
  <c r="A318" i="4"/>
  <c r="W318" i="4"/>
  <c r="S318" i="4"/>
  <c r="V319" i="4"/>
  <c r="C322" i="4"/>
  <c r="AA324" i="4"/>
  <c r="T325" i="4"/>
  <c r="Z326" i="4"/>
  <c r="AC329" i="4"/>
  <c r="V330" i="4"/>
  <c r="AC330" i="4"/>
  <c r="S331" i="4"/>
  <c r="AD332" i="4"/>
  <c r="Z332" i="4"/>
  <c r="C332" i="4"/>
  <c r="AC332" i="4"/>
  <c r="W333" i="4"/>
  <c r="S333" i="4"/>
  <c r="V333" i="4"/>
  <c r="C333" i="4"/>
  <c r="AA333" i="4"/>
  <c r="AD333" i="4"/>
  <c r="Z333" i="4"/>
  <c r="T334" i="4"/>
  <c r="A334" i="4"/>
  <c r="W334" i="4"/>
  <c r="S334" i="4"/>
  <c r="V335" i="4"/>
  <c r="AA340" i="4"/>
  <c r="AB341" i="4"/>
  <c r="Z342" i="4"/>
  <c r="V346" i="4"/>
  <c r="AC346" i="4"/>
  <c r="S347" i="4"/>
  <c r="AD348" i="4"/>
  <c r="Z348" i="4"/>
  <c r="C348" i="4"/>
  <c r="AC348" i="4"/>
  <c r="W349" i="4"/>
  <c r="S349" i="4"/>
  <c r="V349" i="4"/>
  <c r="C349" i="4"/>
  <c r="AA349" i="4"/>
  <c r="AD349" i="4"/>
  <c r="Z349" i="4"/>
  <c r="T350" i="4"/>
  <c r="A350" i="4"/>
  <c r="W350" i="4"/>
  <c r="S350" i="4"/>
  <c r="AA351" i="4"/>
  <c r="AB353" i="4"/>
  <c r="Z354" i="4"/>
  <c r="AC357" i="4"/>
  <c r="AC358" i="4"/>
  <c r="S359" i="4"/>
  <c r="AD360" i="4"/>
  <c r="Z360" i="4"/>
  <c r="C360" i="4"/>
  <c r="AC360" i="4"/>
  <c r="B360" i="4"/>
  <c r="W361" i="4"/>
  <c r="S361" i="4"/>
  <c r="V361" i="4"/>
  <c r="C361" i="4"/>
  <c r="AA361" i="4"/>
  <c r="AD361" i="4"/>
  <c r="Z361" i="4"/>
  <c r="T362" i="4"/>
  <c r="A362" i="4"/>
  <c r="W362" i="4"/>
  <c r="S362" i="4"/>
  <c r="U365" i="4"/>
  <c r="Z366" i="4"/>
  <c r="W368" i="4"/>
  <c r="S368" i="4"/>
  <c r="T368" i="4"/>
  <c r="C368" i="4"/>
  <c r="T369" i="4"/>
  <c r="A369" i="4"/>
  <c r="U369" i="4"/>
  <c r="S369" i="4"/>
  <c r="AA372" i="4"/>
  <c r="Z372" i="4"/>
  <c r="AD372" i="4"/>
  <c r="AC374" i="4"/>
  <c r="Z374" i="4"/>
  <c r="AD374" i="4"/>
  <c r="AD375" i="4"/>
  <c r="Z375" i="4"/>
  <c r="AA375" i="4"/>
  <c r="C376" i="4"/>
  <c r="AC376" i="4"/>
  <c r="AB378" i="4"/>
  <c r="AC381" i="4"/>
  <c r="AA381" i="4"/>
  <c r="W388" i="4"/>
  <c r="S388" i="4"/>
  <c r="V388" i="4"/>
  <c r="C388" i="4"/>
  <c r="U388" i="4"/>
  <c r="T388" i="4"/>
  <c r="T389" i="4"/>
  <c r="A389" i="4"/>
  <c r="W389" i="4"/>
  <c r="S389" i="4"/>
  <c r="V389" i="4"/>
  <c r="U389" i="4"/>
  <c r="AD389" i="4"/>
  <c r="AD395" i="4"/>
  <c r="Z395" i="4"/>
  <c r="AC395" i="4"/>
  <c r="AB395" i="4"/>
  <c r="AA395" i="4"/>
  <c r="V397" i="4"/>
  <c r="C397" i="4"/>
  <c r="T397" i="4"/>
  <c r="S397" i="4"/>
  <c r="W397" i="4"/>
  <c r="U397" i="4"/>
  <c r="AA402" i="4"/>
  <c r="AB402" i="4"/>
  <c r="Z402" i="4"/>
  <c r="AD402" i="4"/>
  <c r="AC402" i="4"/>
  <c r="C402" i="4"/>
  <c r="S416" i="4"/>
  <c r="T418" i="4"/>
  <c r="AA419" i="4"/>
  <c r="Z419" i="4"/>
  <c r="B419" i="4"/>
  <c r="AD419" i="4"/>
  <c r="AC419" i="4"/>
  <c r="B423" i="4"/>
  <c r="T428" i="4"/>
  <c r="S428" i="4"/>
  <c r="A428" i="4"/>
  <c r="W428" i="4"/>
  <c r="AC433" i="4"/>
  <c r="AC434" i="4"/>
  <c r="V448" i="4"/>
  <c r="A448" i="4"/>
  <c r="T448" i="4"/>
  <c r="W448" i="4"/>
  <c r="S448" i="4"/>
  <c r="AD449" i="4"/>
  <c r="Z449" i="4"/>
  <c r="AA449" i="4"/>
  <c r="AB449" i="4"/>
  <c r="B455" i="4"/>
  <c r="Z455" i="4"/>
  <c r="T459" i="4"/>
  <c r="A459" i="4"/>
  <c r="U459" i="4"/>
  <c r="S459" i="4"/>
  <c r="V459" i="4"/>
  <c r="C459" i="4"/>
  <c r="AA462" i="4"/>
  <c r="Z462" i="4"/>
  <c r="AD462" i="4"/>
  <c r="AB462" i="4"/>
  <c r="C462" i="4"/>
  <c r="B462" i="4"/>
  <c r="V464" i="4"/>
  <c r="T464" i="4"/>
  <c r="W464" i="4"/>
  <c r="U466" i="4"/>
  <c r="A466" i="4"/>
  <c r="T471" i="4"/>
  <c r="A471" i="4"/>
  <c r="S471" i="4"/>
  <c r="W471" i="4"/>
  <c r="C471" i="4"/>
  <c r="V471" i="4"/>
  <c r="U471" i="4"/>
  <c r="W474" i="4"/>
  <c r="S474" i="4"/>
  <c r="T474" i="4"/>
  <c r="V474" i="4"/>
  <c r="U474" i="4"/>
  <c r="S479" i="4"/>
  <c r="V490" i="4"/>
  <c r="T491" i="4"/>
  <c r="U491" i="4"/>
  <c r="S491" i="4"/>
  <c r="V491" i="4"/>
  <c r="C491" i="4"/>
  <c r="AA499" i="4"/>
  <c r="Z499" i="4"/>
  <c r="B499" i="4"/>
  <c r="AD499" i="4"/>
  <c r="AC499" i="4"/>
  <c r="AB505" i="4"/>
  <c r="B505" i="4"/>
  <c r="V508" i="4"/>
  <c r="AC513" i="4"/>
  <c r="AC514" i="4"/>
  <c r="T528" i="4"/>
  <c r="A528" i="4"/>
  <c r="W528" i="4"/>
  <c r="S528" i="4"/>
  <c r="V528" i="4"/>
  <c r="U87" i="4"/>
  <c r="C92" i="4"/>
  <c r="V92" i="4"/>
  <c r="AB94" i="4"/>
  <c r="U95" i="4"/>
  <c r="C100" i="4"/>
  <c r="V100" i="4"/>
  <c r="AB102" i="4"/>
  <c r="U103" i="4"/>
  <c r="AB106" i="4"/>
  <c r="U107" i="4"/>
  <c r="V108" i="4"/>
  <c r="C112" i="4"/>
  <c r="V112" i="4"/>
  <c r="C116" i="4"/>
  <c r="V116" i="4"/>
  <c r="C120" i="4"/>
  <c r="AB122" i="4"/>
  <c r="U123" i="4"/>
  <c r="AB126" i="4"/>
  <c r="U127" i="4"/>
  <c r="AC131" i="4"/>
  <c r="C132" i="4"/>
  <c r="V132" i="4"/>
  <c r="AB134" i="4"/>
  <c r="AC135" i="4"/>
  <c r="V136" i="4"/>
  <c r="AB138" i="4"/>
  <c r="U139" i="4"/>
  <c r="AC139" i="4"/>
  <c r="V140" i="4"/>
  <c r="AB142" i="4"/>
  <c r="U143" i="4"/>
  <c r="AB146" i="4"/>
  <c r="U147" i="4"/>
  <c r="C152" i="4"/>
  <c r="AB154" i="4"/>
  <c r="U155" i="4"/>
  <c r="V156" i="4"/>
  <c r="AB158" i="4"/>
  <c r="U159" i="4"/>
  <c r="V160" i="4"/>
  <c r="AB162" i="4"/>
  <c r="U163" i="4"/>
  <c r="V164" i="4"/>
  <c r="AB166" i="4"/>
  <c r="U167" i="4"/>
  <c r="V168" i="4"/>
  <c r="C172" i="4"/>
  <c r="V172" i="4"/>
  <c r="U175" i="4"/>
  <c r="V176" i="4"/>
  <c r="C180" i="4"/>
  <c r="AC183" i="4"/>
  <c r="C184" i="4"/>
  <c r="V184" i="4"/>
  <c r="AC187" i="4"/>
  <c r="C188" i="4"/>
  <c r="V188" i="4"/>
  <c r="AC191" i="4"/>
  <c r="C192" i="4"/>
  <c r="V192" i="4"/>
  <c r="AC195" i="4"/>
  <c r="C196" i="4"/>
  <c r="V196" i="4"/>
  <c r="C200" i="4"/>
  <c r="V200" i="4"/>
  <c r="AB202" i="4"/>
  <c r="U203" i="4"/>
  <c r="AC203" i="4"/>
  <c r="C204" i="4"/>
  <c r="C223" i="4"/>
  <c r="AA229" i="4"/>
  <c r="AD229" i="4"/>
  <c r="Z229" i="4"/>
  <c r="AD244" i="4"/>
  <c r="Z244" i="4"/>
  <c r="C244" i="4"/>
  <c r="AC244" i="4"/>
  <c r="W245" i="4"/>
  <c r="S245" i="4"/>
  <c r="V245" i="4"/>
  <c r="T246" i="4"/>
  <c r="A246" i="4"/>
  <c r="W246" i="4"/>
  <c r="S246" i="4"/>
  <c r="AA261" i="4"/>
  <c r="AD261" i="4"/>
  <c r="Z261" i="4"/>
  <c r="T262" i="4"/>
  <c r="A262" i="4"/>
  <c r="W262" i="4"/>
  <c r="S262" i="4"/>
  <c r="C271" i="4"/>
  <c r="AA277" i="4"/>
  <c r="AD277" i="4"/>
  <c r="Z277" i="4"/>
  <c r="T278" i="4"/>
  <c r="A278" i="4"/>
  <c r="W278" i="4"/>
  <c r="S278" i="4"/>
  <c r="C287" i="4"/>
  <c r="AA293" i="4"/>
  <c r="AD293" i="4"/>
  <c r="Z293" i="4"/>
  <c r="A309" i="4"/>
  <c r="AA309" i="4"/>
  <c r="AD309" i="4"/>
  <c r="Z309" i="4"/>
  <c r="T310" i="4"/>
  <c r="A310" i="4"/>
  <c r="W310" i="4"/>
  <c r="S310" i="4"/>
  <c r="AA325" i="4"/>
  <c r="AD325" i="4"/>
  <c r="Z325" i="4"/>
  <c r="T326" i="4"/>
  <c r="A326" i="4"/>
  <c r="W326" i="4"/>
  <c r="S326" i="4"/>
  <c r="W341" i="4"/>
  <c r="S341" i="4"/>
  <c r="V341" i="4"/>
  <c r="C341" i="4"/>
  <c r="T342" i="4"/>
  <c r="A342" i="4"/>
  <c r="W342" i="4"/>
  <c r="S342" i="4"/>
  <c r="AD352" i="4"/>
  <c r="Z352" i="4"/>
  <c r="C352" i="4"/>
  <c r="AC352" i="4"/>
  <c r="B352" i="4"/>
  <c r="W353" i="4"/>
  <c r="S353" i="4"/>
  <c r="V353" i="4"/>
  <c r="C353" i="4"/>
  <c r="T354" i="4"/>
  <c r="A354" i="4"/>
  <c r="W354" i="4"/>
  <c r="S354" i="4"/>
  <c r="B357" i="4"/>
  <c r="AD379" i="4"/>
  <c r="Z379" i="4"/>
  <c r="AB379" i="4"/>
  <c r="B379" i="4"/>
  <c r="AA379" i="4"/>
  <c r="AA388" i="4"/>
  <c r="AD388" i="4"/>
  <c r="Z388" i="4"/>
  <c r="AC388" i="4"/>
  <c r="AB388" i="4"/>
  <c r="AB425" i="4"/>
  <c r="AA425" i="4"/>
  <c r="V432" i="4"/>
  <c r="A432" i="4"/>
  <c r="T432" i="4"/>
  <c r="W432" i="4"/>
  <c r="S432" i="4"/>
  <c r="W458" i="4"/>
  <c r="S458" i="4"/>
  <c r="T458" i="4"/>
  <c r="C458" i="4"/>
  <c r="U458" i="4"/>
  <c r="AD465" i="4"/>
  <c r="Z465" i="4"/>
  <c r="AA465" i="4"/>
  <c r="AC465" i="4"/>
  <c r="AB465" i="4"/>
  <c r="AC468" i="4"/>
  <c r="B468" i="4"/>
  <c r="AA468" i="4"/>
  <c r="C468" i="4"/>
  <c r="Z468" i="4"/>
  <c r="AD468" i="4"/>
  <c r="AB468" i="4"/>
  <c r="V473" i="4"/>
  <c r="C473" i="4"/>
  <c r="S473" i="4"/>
  <c r="W473" i="4"/>
  <c r="T473" i="4"/>
  <c r="T475" i="4"/>
  <c r="U475" i="4"/>
  <c r="S475" i="4"/>
  <c r="W475" i="4"/>
  <c r="V475" i="4"/>
  <c r="U489" i="4"/>
  <c r="A490" i="4"/>
  <c r="U495" i="4"/>
  <c r="W495" i="4"/>
  <c r="S495" i="4"/>
  <c r="AC503" i="4"/>
  <c r="AA503" i="4"/>
  <c r="AD503" i="4"/>
  <c r="Z503" i="4"/>
  <c r="V512" i="4"/>
  <c r="T512" i="4"/>
  <c r="W512" i="4"/>
  <c r="S512" i="4"/>
  <c r="W516" i="4"/>
  <c r="S516" i="4"/>
  <c r="A516" i="4"/>
  <c r="V516" i="4"/>
  <c r="AC549" i="4"/>
  <c r="AA549" i="4"/>
  <c r="C549" i="4"/>
  <c r="Z549" i="4"/>
  <c r="B549" i="4"/>
  <c r="AD549" i="4"/>
  <c r="V558" i="4"/>
  <c r="A558" i="4"/>
  <c r="T558" i="4"/>
  <c r="S558" i="4"/>
  <c r="W558" i="4"/>
  <c r="AC581" i="4"/>
  <c r="AA581" i="4"/>
  <c r="C581" i="4"/>
  <c r="Z581" i="4"/>
  <c r="AD581" i="4"/>
  <c r="V590" i="4"/>
  <c r="A590" i="4"/>
  <c r="T590" i="4"/>
  <c r="S590" i="4"/>
  <c r="W590" i="4"/>
  <c r="W659" i="4"/>
  <c r="S659" i="4"/>
  <c r="U659" i="4"/>
  <c r="T659" i="4"/>
  <c r="C659" i="4"/>
  <c r="V659" i="4"/>
  <c r="AC733" i="4"/>
  <c r="AA733" i="4"/>
  <c r="Z733" i="4"/>
  <c r="B733" i="4"/>
  <c r="AD733" i="4"/>
  <c r="S751" i="4"/>
  <c r="W796" i="4"/>
  <c r="V796" i="4"/>
  <c r="S796" i="4"/>
  <c r="AD836" i="4"/>
  <c r="Z836" i="4"/>
  <c r="AB836" i="4"/>
  <c r="AA836" i="4"/>
  <c r="AC836" i="4"/>
  <c r="AB13" i="4"/>
  <c r="AB17" i="4"/>
  <c r="U18" i="4"/>
  <c r="AB21" i="4"/>
  <c r="U22" i="4"/>
  <c r="AB25" i="4"/>
  <c r="AB29" i="4"/>
  <c r="U30" i="4"/>
  <c r="AB33" i="4"/>
  <c r="AB37" i="4"/>
  <c r="U38" i="4"/>
  <c r="AB41" i="4"/>
  <c r="U46" i="4"/>
  <c r="AB49" i="4"/>
  <c r="AB61" i="4"/>
  <c r="AB65" i="4"/>
  <c r="U74" i="4"/>
  <c r="U82" i="4"/>
  <c r="U86" i="4"/>
  <c r="V87" i="4"/>
  <c r="Z87" i="4"/>
  <c r="AB89" i="4"/>
  <c r="B90" i="4"/>
  <c r="AC90" i="4"/>
  <c r="C91" i="4"/>
  <c r="AC94" i="4"/>
  <c r="B98" i="4"/>
  <c r="AC98" i="4"/>
  <c r="C99" i="4"/>
  <c r="U102" i="4"/>
  <c r="V103" i="4"/>
  <c r="Z103" i="4"/>
  <c r="AB105" i="4"/>
  <c r="B106" i="4"/>
  <c r="AC106" i="4"/>
  <c r="C107" i="4"/>
  <c r="V107" i="4"/>
  <c r="Z107" i="4"/>
  <c r="S108" i="4"/>
  <c r="U110" i="4"/>
  <c r="AC110" i="4"/>
  <c r="AB113" i="4"/>
  <c r="U114" i="4"/>
  <c r="AC114" i="4"/>
  <c r="C115" i="4"/>
  <c r="B118" i="4"/>
  <c r="AC118" i="4"/>
  <c r="C119" i="4"/>
  <c r="AB121" i="4"/>
  <c r="B122" i="4"/>
  <c r="V123" i="4"/>
  <c r="Z123" i="4"/>
  <c r="AB125" i="4"/>
  <c r="AC126" i="4"/>
  <c r="V127" i="4"/>
  <c r="Z127" i="4"/>
  <c r="AB129" i="4"/>
  <c r="B130" i="4"/>
  <c r="V131" i="4"/>
  <c r="Z131" i="4"/>
  <c r="AB133" i="4"/>
  <c r="U134" i="4"/>
  <c r="V135" i="4"/>
  <c r="Z135" i="4"/>
  <c r="AB137" i="4"/>
  <c r="B138" i="4"/>
  <c r="AC138" i="4"/>
  <c r="C139" i="4"/>
  <c r="V139" i="4"/>
  <c r="Z139" i="4"/>
  <c r="S140" i="4"/>
  <c r="AB141" i="4"/>
  <c r="U142" i="4"/>
  <c r="AC142" i="4"/>
  <c r="C143" i="4"/>
  <c r="U146" i="4"/>
  <c r="AC146" i="4"/>
  <c r="C147" i="4"/>
  <c r="B150" i="4"/>
  <c r="AC150" i="4"/>
  <c r="C151" i="4"/>
  <c r="AB153" i="4"/>
  <c r="U154" i="4"/>
  <c r="V155" i="4"/>
  <c r="Z155" i="4"/>
  <c r="U158" i="4"/>
  <c r="V159" i="4"/>
  <c r="Z159" i="4"/>
  <c r="U162" i="4"/>
  <c r="V163" i="4"/>
  <c r="Z163" i="4"/>
  <c r="S164" i="4"/>
  <c r="AC166" i="4"/>
  <c r="C167" i="4"/>
  <c r="U170" i="4"/>
  <c r="AC170" i="4"/>
  <c r="C171" i="4"/>
  <c r="B174" i="4"/>
  <c r="AC174" i="4"/>
  <c r="C175" i="4"/>
  <c r="U178" i="4"/>
  <c r="U182" i="4"/>
  <c r="V183" i="4"/>
  <c r="Z183" i="4"/>
  <c r="AB185" i="4"/>
  <c r="U186" i="4"/>
  <c r="V187" i="4"/>
  <c r="Z187" i="4"/>
  <c r="AB189" i="4"/>
  <c r="U190" i="4"/>
  <c r="V191" i="4"/>
  <c r="Z191" i="4"/>
  <c r="AB193" i="4"/>
  <c r="U194" i="4"/>
  <c r="V195" i="4"/>
  <c r="Z195" i="4"/>
  <c r="AB197" i="4"/>
  <c r="B198" i="4"/>
  <c r="AC198" i="4"/>
  <c r="V203" i="4"/>
  <c r="Z203" i="4"/>
  <c r="S204" i="4"/>
  <c r="AC206" i="4"/>
  <c r="C207" i="4"/>
  <c r="V207" i="4"/>
  <c r="V209" i="4"/>
  <c r="C209" i="4"/>
  <c r="U209" i="4"/>
  <c r="W210" i="4"/>
  <c r="S210" i="4"/>
  <c r="C211" i="4"/>
  <c r="C212" i="4"/>
  <c r="W212" i="4"/>
  <c r="C214" i="4"/>
  <c r="Z218" i="4"/>
  <c r="AA225" i="4"/>
  <c r="AD225" i="4"/>
  <c r="Z225" i="4"/>
  <c r="C230" i="4"/>
  <c r="AA241" i="4"/>
  <c r="AD241" i="4"/>
  <c r="Z241" i="4"/>
  <c r="Z250" i="4"/>
  <c r="S255" i="4"/>
  <c r="AD256" i="4"/>
  <c r="Z256" i="4"/>
  <c r="C256" i="4"/>
  <c r="AC256" i="4"/>
  <c r="B256" i="4"/>
  <c r="W257" i="4"/>
  <c r="S257" i="4"/>
  <c r="V257" i="4"/>
  <c r="C257" i="4"/>
  <c r="T258" i="4"/>
  <c r="A258" i="4"/>
  <c r="W258" i="4"/>
  <c r="S258" i="4"/>
  <c r="C262" i="4"/>
  <c r="Z266" i="4"/>
  <c r="S271" i="4"/>
  <c r="W273" i="4"/>
  <c r="S273" i="4"/>
  <c r="V273" i="4"/>
  <c r="C273" i="4"/>
  <c r="T274" i="4"/>
  <c r="A274" i="4"/>
  <c r="W274" i="4"/>
  <c r="S274" i="4"/>
  <c r="C278" i="4"/>
  <c r="AD288" i="4"/>
  <c r="Z288" i="4"/>
  <c r="C288" i="4"/>
  <c r="AC288" i="4"/>
  <c r="B288" i="4"/>
  <c r="W289" i="4"/>
  <c r="S289" i="4"/>
  <c r="V289" i="4"/>
  <c r="C289" i="4"/>
  <c r="T290" i="4"/>
  <c r="W290" i="4"/>
  <c r="S290" i="4"/>
  <c r="S303" i="4"/>
  <c r="A305" i="4"/>
  <c r="AA305" i="4"/>
  <c r="AD305" i="4"/>
  <c r="Z305" i="4"/>
  <c r="B309" i="4"/>
  <c r="C310" i="4"/>
  <c r="S319" i="4"/>
  <c r="A321" i="4"/>
  <c r="AA321" i="4"/>
  <c r="AD321" i="4"/>
  <c r="Z321" i="4"/>
  <c r="B325" i="4"/>
  <c r="C331" i="4"/>
  <c r="S335" i="4"/>
  <c r="W337" i="4"/>
  <c r="S337" i="4"/>
  <c r="V337" i="4"/>
  <c r="C337" i="4"/>
  <c r="T338" i="4"/>
  <c r="A338" i="4"/>
  <c r="W338" i="4"/>
  <c r="S338" i="4"/>
  <c r="C342" i="4"/>
  <c r="Z346" i="4"/>
  <c r="Z351" i="4"/>
  <c r="Z358" i="4"/>
  <c r="C359" i="4"/>
  <c r="AC365" i="4"/>
  <c r="AA365" i="4"/>
  <c r="C396" i="4"/>
  <c r="AD405" i="4"/>
  <c r="Z405" i="4"/>
  <c r="AB405" i="4"/>
  <c r="B405" i="4"/>
  <c r="AA405" i="4"/>
  <c r="AC405" i="4"/>
  <c r="C418" i="4"/>
  <c r="T423" i="4"/>
  <c r="S423" i="4"/>
  <c r="W423" i="4"/>
  <c r="C423" i="4"/>
  <c r="V423" i="4"/>
  <c r="U423" i="4"/>
  <c r="V425" i="4"/>
  <c r="C425" i="4"/>
  <c r="S425" i="4"/>
  <c r="W425" i="4"/>
  <c r="U425" i="4"/>
  <c r="T425" i="4"/>
  <c r="AC432" i="4"/>
  <c r="B432" i="4"/>
  <c r="Z432" i="4"/>
  <c r="AD432" i="4"/>
  <c r="AB432" i="4"/>
  <c r="AA432" i="4"/>
  <c r="AA441" i="4"/>
  <c r="AB454" i="4"/>
  <c r="B454" i="4"/>
  <c r="AD454" i="4"/>
  <c r="Z454" i="4"/>
  <c r="C475" i="4"/>
  <c r="W478" i="4"/>
  <c r="S478" i="4"/>
  <c r="U478" i="4"/>
  <c r="A478" i="4"/>
  <c r="T478" i="4"/>
  <c r="V478" i="4"/>
  <c r="C478" i="4"/>
  <c r="C479" i="4"/>
  <c r="AA483" i="4"/>
  <c r="Z483" i="4"/>
  <c r="B483" i="4"/>
  <c r="AD483" i="4"/>
  <c r="AB486" i="4"/>
  <c r="AD486" i="4"/>
  <c r="V496" i="4"/>
  <c r="A496" i="4"/>
  <c r="T496" i="4"/>
  <c r="W496" i="4"/>
  <c r="U498" i="4"/>
  <c r="A498" i="4"/>
  <c r="C508" i="4"/>
  <c r="AC512" i="4"/>
  <c r="B512" i="4"/>
  <c r="Z512" i="4"/>
  <c r="AD512" i="4"/>
  <c r="AB512" i="4"/>
  <c r="AA512" i="4"/>
  <c r="AD523" i="4"/>
  <c r="Z523" i="4"/>
  <c r="B523" i="4"/>
  <c r="AC523" i="4"/>
  <c r="AB548" i="4"/>
  <c r="B548" i="4"/>
  <c r="Z548" i="4"/>
  <c r="AD548" i="4"/>
  <c r="AA560" i="4"/>
  <c r="AB560" i="4"/>
  <c r="Z560" i="4"/>
  <c r="AD560" i="4"/>
  <c r="C560" i="4"/>
  <c r="AC560" i="4"/>
  <c r="AC562" i="4"/>
  <c r="AA562" i="4"/>
  <c r="C562" i="4"/>
  <c r="Z562" i="4"/>
  <c r="AD562" i="4"/>
  <c r="AB562" i="4"/>
  <c r="AB580" i="4"/>
  <c r="Z580" i="4"/>
  <c r="AD580" i="4"/>
  <c r="V587" i="4"/>
  <c r="C587" i="4"/>
  <c r="T587" i="4"/>
  <c r="S587" i="4"/>
  <c r="W587" i="4"/>
  <c r="U587" i="4"/>
  <c r="A587" i="4"/>
  <c r="W627" i="4"/>
  <c r="S627" i="4"/>
  <c r="U627" i="4"/>
  <c r="T627" i="4"/>
  <c r="C627" i="4"/>
  <c r="V627" i="4"/>
  <c r="C2" i="4"/>
  <c r="C206" i="4" s="1"/>
  <c r="AC5" i="4"/>
  <c r="C6" i="4"/>
  <c r="V6" i="4"/>
  <c r="S2" i="4"/>
  <c r="C5" i="4"/>
  <c r="Z5" i="4"/>
  <c r="S6" i="4"/>
  <c r="C9" i="4"/>
  <c r="Z9" i="4"/>
  <c r="S10" i="4"/>
  <c r="B12" i="4"/>
  <c r="C13" i="4"/>
  <c r="Z13" i="4"/>
  <c r="S14" i="4"/>
  <c r="C17" i="4"/>
  <c r="Z17" i="4"/>
  <c r="S18" i="4"/>
  <c r="B20" i="4"/>
  <c r="C21" i="4"/>
  <c r="Z21" i="4"/>
  <c r="S22" i="4"/>
  <c r="B24" i="4"/>
  <c r="C25" i="4"/>
  <c r="Z25" i="4"/>
  <c r="S26" i="4"/>
  <c r="C29" i="4"/>
  <c r="Z29" i="4"/>
  <c r="S30" i="4"/>
  <c r="B32" i="4"/>
  <c r="C33" i="4"/>
  <c r="Z33" i="4"/>
  <c r="S34" i="4"/>
  <c r="B36" i="4"/>
  <c r="C37" i="4"/>
  <c r="Z37" i="4"/>
  <c r="S38" i="4"/>
  <c r="B40" i="4"/>
  <c r="C41" i="4"/>
  <c r="Z41" i="4"/>
  <c r="S42" i="4"/>
  <c r="C45" i="4"/>
  <c r="Z45" i="4"/>
  <c r="S46" i="4"/>
  <c r="B48" i="4"/>
  <c r="C49" i="4"/>
  <c r="Z49" i="4"/>
  <c r="S50" i="4"/>
  <c r="B52" i="4"/>
  <c r="C53" i="4"/>
  <c r="Z53" i="4"/>
  <c r="S54" i="4"/>
  <c r="B56" i="4"/>
  <c r="C57" i="4"/>
  <c r="Z57" i="4"/>
  <c r="S58" i="4"/>
  <c r="B60" i="4"/>
  <c r="C61" i="4"/>
  <c r="Z61" i="4"/>
  <c r="S62" i="4"/>
  <c r="B64" i="4"/>
  <c r="C65" i="4"/>
  <c r="Z65" i="4"/>
  <c r="S66" i="4"/>
  <c r="B68" i="4"/>
  <c r="C69" i="4"/>
  <c r="Z69" i="4"/>
  <c r="S70" i="4"/>
  <c r="B72" i="4"/>
  <c r="C73" i="4"/>
  <c r="Z73" i="4"/>
  <c r="S74" i="4"/>
  <c r="C77" i="4"/>
  <c r="Z77" i="4"/>
  <c r="S78" i="4"/>
  <c r="B80" i="4"/>
  <c r="Z81" i="4"/>
  <c r="S82" i="4"/>
  <c r="B84" i="4"/>
  <c r="C85" i="4"/>
  <c r="Z85" i="4"/>
  <c r="S86" i="4"/>
  <c r="A87" i="4"/>
  <c r="B88" i="4"/>
  <c r="C89" i="4"/>
  <c r="Z89" i="4"/>
  <c r="S90" i="4"/>
  <c r="A91" i="4"/>
  <c r="B92" i="4"/>
  <c r="C93" i="4"/>
  <c r="Z93" i="4"/>
  <c r="S94" i="4"/>
  <c r="B96" i="4"/>
  <c r="C97" i="4"/>
  <c r="Z97" i="4"/>
  <c r="S98" i="4"/>
  <c r="A99" i="4"/>
  <c r="B100" i="4"/>
  <c r="C101" i="4"/>
  <c r="Z101" i="4"/>
  <c r="S102" i="4"/>
  <c r="A103" i="4"/>
  <c r="B104" i="4"/>
  <c r="C105" i="4"/>
  <c r="Z105" i="4"/>
  <c r="S106" i="4"/>
  <c r="A107" i="4"/>
  <c r="B108" i="4"/>
  <c r="C109" i="4"/>
  <c r="Z109" i="4"/>
  <c r="S110" i="4"/>
  <c r="B112" i="4"/>
  <c r="C113" i="4"/>
  <c r="Z113" i="4"/>
  <c r="S114" i="4"/>
  <c r="A115" i="4"/>
  <c r="C117" i="4"/>
  <c r="Z117" i="4"/>
  <c r="S118" i="4"/>
  <c r="A119" i="4"/>
  <c r="B120" i="4"/>
  <c r="C121" i="4"/>
  <c r="Z121" i="4"/>
  <c r="S122" i="4"/>
  <c r="A123" i="4"/>
  <c r="B124" i="4"/>
  <c r="C125" i="4"/>
  <c r="Z125" i="4"/>
  <c r="S126" i="4"/>
  <c r="B128" i="4"/>
  <c r="C129" i="4"/>
  <c r="Z129" i="4"/>
  <c r="S130" i="4"/>
  <c r="A131" i="4"/>
  <c r="B132" i="4"/>
  <c r="C133" i="4"/>
  <c r="Z133" i="4"/>
  <c r="S134" i="4"/>
  <c r="B136" i="4"/>
  <c r="C137" i="4"/>
  <c r="Z137" i="4"/>
  <c r="S138" i="4"/>
  <c r="A139" i="4"/>
  <c r="B140" i="4"/>
  <c r="C141" i="4"/>
  <c r="Z141" i="4"/>
  <c r="S142" i="4"/>
  <c r="C145" i="4"/>
  <c r="Z145" i="4"/>
  <c r="S146" i="4"/>
  <c r="C149" i="4"/>
  <c r="Z149" i="4"/>
  <c r="S150" i="4"/>
  <c r="A151" i="4"/>
  <c r="B152" i="4"/>
  <c r="C153" i="4"/>
  <c r="Z153" i="4"/>
  <c r="S154" i="4"/>
  <c r="A155" i="4"/>
  <c r="B156" i="4"/>
  <c r="C157" i="4"/>
  <c r="Z157" i="4"/>
  <c r="S158" i="4"/>
  <c r="B160" i="4"/>
  <c r="C161" i="4"/>
  <c r="Z161" i="4"/>
  <c r="S162" i="4"/>
  <c r="A163" i="4"/>
  <c r="B164" i="4"/>
  <c r="Z165" i="4"/>
  <c r="S166" i="4"/>
  <c r="A167" i="4"/>
  <c r="B168" i="4"/>
  <c r="C169" i="4"/>
  <c r="Z169" i="4"/>
  <c r="S170" i="4"/>
  <c r="A171" i="4"/>
  <c r="B172" i="4"/>
  <c r="C173" i="4"/>
  <c r="Z173" i="4"/>
  <c r="S174" i="4"/>
  <c r="B176" i="4"/>
  <c r="C177" i="4"/>
  <c r="Z177" i="4"/>
  <c r="S178" i="4"/>
  <c r="A179" i="4"/>
  <c r="B180" i="4"/>
  <c r="Z181" i="4"/>
  <c r="S182" i="4"/>
  <c r="B184" i="4"/>
  <c r="C185" i="4"/>
  <c r="Z185" i="4"/>
  <c r="S186" i="4"/>
  <c r="A187" i="4"/>
  <c r="B188" i="4"/>
  <c r="C189" i="4"/>
  <c r="Z189" i="4"/>
  <c r="S190" i="4"/>
  <c r="B192" i="4"/>
  <c r="C193" i="4"/>
  <c r="Z193" i="4"/>
  <c r="S194" i="4"/>
  <c r="Z197" i="4"/>
  <c r="S198" i="4"/>
  <c r="B200" i="4"/>
  <c r="C201" i="4"/>
  <c r="Z201" i="4"/>
  <c r="S202" i="4"/>
  <c r="A203" i="4"/>
  <c r="C205" i="4"/>
  <c r="Z205" i="4"/>
  <c r="S206" i="4"/>
  <c r="A207" i="4"/>
  <c r="AB207" i="4"/>
  <c r="AC207" i="4"/>
  <c r="AC208" i="4"/>
  <c r="B208" i="4"/>
  <c r="AB208" i="4"/>
  <c r="S209" i="4"/>
  <c r="AD209" i="4"/>
  <c r="Z209" i="4"/>
  <c r="AC209" i="4"/>
  <c r="T210" i="4"/>
  <c r="AD210" i="4"/>
  <c r="U211" i="4"/>
  <c r="AD212" i="4"/>
  <c r="U213" i="4"/>
  <c r="AC213" i="4"/>
  <c r="V214" i="4"/>
  <c r="AD216" i="4"/>
  <c r="Z216" i="4"/>
  <c r="C216" i="4"/>
  <c r="AC216" i="4"/>
  <c r="B216" i="4"/>
  <c r="W217" i="4"/>
  <c r="S217" i="4"/>
  <c r="V217" i="4"/>
  <c r="C217" i="4"/>
  <c r="AA217" i="4"/>
  <c r="AD217" i="4"/>
  <c r="Z217" i="4"/>
  <c r="B218" i="4"/>
  <c r="T218" i="4"/>
  <c r="W218" i="4"/>
  <c r="S218" i="4"/>
  <c r="AB218" i="4"/>
  <c r="B221" i="4"/>
  <c r="C222" i="4"/>
  <c r="U223" i="4"/>
  <c r="AA224" i="4"/>
  <c r="T225" i="4"/>
  <c r="AB225" i="4"/>
  <c r="U226" i="4"/>
  <c r="AB228" i="4"/>
  <c r="U229" i="4"/>
  <c r="AC229" i="4"/>
  <c r="V230" i="4"/>
  <c r="AD232" i="4"/>
  <c r="Z232" i="4"/>
  <c r="C232" i="4"/>
  <c r="AC232" i="4"/>
  <c r="B232" i="4"/>
  <c r="W233" i="4"/>
  <c r="S233" i="4"/>
  <c r="V233" i="4"/>
  <c r="C233" i="4"/>
  <c r="AA233" i="4"/>
  <c r="AD233" i="4"/>
  <c r="Z233" i="4"/>
  <c r="B234" i="4"/>
  <c r="T234" i="4"/>
  <c r="A234" i="4"/>
  <c r="W234" i="4"/>
  <c r="S234" i="4"/>
  <c r="AB234" i="4"/>
  <c r="B237" i="4"/>
  <c r="C238" i="4"/>
  <c r="U239" i="4"/>
  <c r="AA240" i="4"/>
  <c r="T241" i="4"/>
  <c r="AB241" i="4"/>
  <c r="U242" i="4"/>
  <c r="AB244" i="4"/>
  <c r="U245" i="4"/>
  <c r="AC245" i="4"/>
  <c r="V246" i="4"/>
  <c r="AD248" i="4"/>
  <c r="Z248" i="4"/>
  <c r="C248" i="4"/>
  <c r="AC248" i="4"/>
  <c r="B248" i="4"/>
  <c r="W249" i="4"/>
  <c r="S249" i="4"/>
  <c r="V249" i="4"/>
  <c r="C249" i="4"/>
  <c r="AA249" i="4"/>
  <c r="AD249" i="4"/>
  <c r="Z249" i="4"/>
  <c r="B250" i="4"/>
  <c r="T250" i="4"/>
  <c r="W250" i="4"/>
  <c r="S250" i="4"/>
  <c r="AB250" i="4"/>
  <c r="B253" i="4"/>
  <c r="C254" i="4"/>
  <c r="U255" i="4"/>
  <c r="AA256" i="4"/>
  <c r="T257" i="4"/>
  <c r="AB257" i="4"/>
  <c r="U258" i="4"/>
  <c r="AB260" i="4"/>
  <c r="U261" i="4"/>
  <c r="AC261" i="4"/>
  <c r="V262" i="4"/>
  <c r="AD264" i="4"/>
  <c r="Z264" i="4"/>
  <c r="C264" i="4"/>
  <c r="AC264" i="4"/>
  <c r="W265" i="4"/>
  <c r="S265" i="4"/>
  <c r="V265" i="4"/>
  <c r="C265" i="4"/>
  <c r="AA265" i="4"/>
  <c r="AD265" i="4"/>
  <c r="Z265" i="4"/>
  <c r="T266" i="4"/>
  <c r="W266" i="4"/>
  <c r="S266" i="4"/>
  <c r="AB266" i="4"/>
  <c r="B269" i="4"/>
  <c r="C270" i="4"/>
  <c r="U271" i="4"/>
  <c r="AA272" i="4"/>
  <c r="T273" i="4"/>
  <c r="AB273" i="4"/>
  <c r="U274" i="4"/>
  <c r="AB276" i="4"/>
  <c r="U277" i="4"/>
  <c r="AC277" i="4"/>
  <c r="V278" i="4"/>
  <c r="AD280" i="4"/>
  <c r="Z280" i="4"/>
  <c r="AC280" i="4"/>
  <c r="W281" i="4"/>
  <c r="S281" i="4"/>
  <c r="V281" i="4"/>
  <c r="C281" i="4"/>
  <c r="AA281" i="4"/>
  <c r="AD281" i="4"/>
  <c r="Z281" i="4"/>
  <c r="B282" i="4"/>
  <c r="T282" i="4"/>
  <c r="W282" i="4"/>
  <c r="S282" i="4"/>
  <c r="AB282" i="4"/>
  <c r="B285" i="4"/>
  <c r="C286" i="4"/>
  <c r="U287" i="4"/>
  <c r="AA288" i="4"/>
  <c r="T289" i="4"/>
  <c r="AB289" i="4"/>
  <c r="U290" i="4"/>
  <c r="AB292" i="4"/>
  <c r="U293" i="4"/>
  <c r="AC293" i="4"/>
  <c r="V294" i="4"/>
  <c r="AD296" i="4"/>
  <c r="Z296" i="4"/>
  <c r="AC296" i="4"/>
  <c r="W297" i="4"/>
  <c r="S297" i="4"/>
  <c r="V297" i="4"/>
  <c r="C297" i="4"/>
  <c r="AA297" i="4"/>
  <c r="AD297" i="4"/>
  <c r="Z297" i="4"/>
  <c r="B298" i="4"/>
  <c r="T298" i="4"/>
  <c r="W298" i="4"/>
  <c r="S298" i="4"/>
  <c r="AB298" i="4"/>
  <c r="B301" i="4"/>
  <c r="C302" i="4"/>
  <c r="U303" i="4"/>
  <c r="AA304" i="4"/>
  <c r="T305" i="4"/>
  <c r="AB305" i="4"/>
  <c r="U306" i="4"/>
  <c r="AB308" i="4"/>
  <c r="U309" i="4"/>
  <c r="AC309" i="4"/>
  <c r="V310" i="4"/>
  <c r="AD312" i="4"/>
  <c r="Z312" i="4"/>
  <c r="C312" i="4"/>
  <c r="AC312" i="4"/>
  <c r="W313" i="4"/>
  <c r="S313" i="4"/>
  <c r="V313" i="4"/>
  <c r="AA313" i="4"/>
  <c r="AD313" i="4"/>
  <c r="Z313" i="4"/>
  <c r="B314" i="4"/>
  <c r="T314" i="4"/>
  <c r="W314" i="4"/>
  <c r="S314" i="4"/>
  <c r="AB314" i="4"/>
  <c r="B317" i="4"/>
  <c r="C318" i="4"/>
  <c r="U319" i="4"/>
  <c r="AA320" i="4"/>
  <c r="T321" i="4"/>
  <c r="AB321" i="4"/>
  <c r="U322" i="4"/>
  <c r="AB324" i="4"/>
  <c r="U325" i="4"/>
  <c r="AC325" i="4"/>
  <c r="V326" i="4"/>
  <c r="AD328" i="4"/>
  <c r="Z328" i="4"/>
  <c r="C328" i="4"/>
  <c r="AC328" i="4"/>
  <c r="W329" i="4"/>
  <c r="S329" i="4"/>
  <c r="V329" i="4"/>
  <c r="C329" i="4"/>
  <c r="AA329" i="4"/>
  <c r="AD329" i="4"/>
  <c r="Z329" i="4"/>
  <c r="B330" i="4"/>
  <c r="T330" i="4"/>
  <c r="A330" i="4"/>
  <c r="W330" i="4"/>
  <c r="S330" i="4"/>
  <c r="AB330" i="4"/>
  <c r="C334" i="4"/>
  <c r="U335" i="4"/>
  <c r="AA336" i="4"/>
  <c r="T337" i="4"/>
  <c r="AB337" i="4"/>
  <c r="U338" i="4"/>
  <c r="AB340" i="4"/>
  <c r="U341" i="4"/>
  <c r="AC341" i="4"/>
  <c r="V342" i="4"/>
  <c r="AD344" i="4"/>
  <c r="Z344" i="4"/>
  <c r="C344" i="4"/>
  <c r="AC344" i="4"/>
  <c r="W345" i="4"/>
  <c r="S345" i="4"/>
  <c r="V345" i="4"/>
  <c r="C345" i="4"/>
  <c r="AA345" i="4"/>
  <c r="AD345" i="4"/>
  <c r="Z345" i="4"/>
  <c r="T346" i="4"/>
  <c r="W346" i="4"/>
  <c r="S346" i="4"/>
  <c r="AB346" i="4"/>
  <c r="B349" i="4"/>
  <c r="C350" i="4"/>
  <c r="AB351" i="4"/>
  <c r="AB352" i="4"/>
  <c r="U353" i="4"/>
  <c r="AC353" i="4"/>
  <c r="V354" i="4"/>
  <c r="AD356" i="4"/>
  <c r="Z356" i="4"/>
  <c r="C356" i="4"/>
  <c r="AC356" i="4"/>
  <c r="W357" i="4"/>
  <c r="S357" i="4"/>
  <c r="V357" i="4"/>
  <c r="C357" i="4"/>
  <c r="AA357" i="4"/>
  <c r="AD357" i="4"/>
  <c r="Z357" i="4"/>
  <c r="T358" i="4"/>
  <c r="W358" i="4"/>
  <c r="S358" i="4"/>
  <c r="AB358" i="4"/>
  <c r="B361" i="4"/>
  <c r="C362" i="4"/>
  <c r="AD363" i="4"/>
  <c r="Z363" i="4"/>
  <c r="AB363" i="4"/>
  <c r="B363" i="4"/>
  <c r="AA363" i="4"/>
  <c r="Z364" i="4"/>
  <c r="V365" i="4"/>
  <c r="AD365" i="4"/>
  <c r="V367" i="4"/>
  <c r="C367" i="4"/>
  <c r="S367" i="4"/>
  <c r="W367" i="4"/>
  <c r="AB367" i="4"/>
  <c r="C369" i="4"/>
  <c r="T370" i="4"/>
  <c r="S370" i="4"/>
  <c r="V371" i="4"/>
  <c r="C371" i="4"/>
  <c r="T371" i="4"/>
  <c r="S371" i="4"/>
  <c r="W372" i="4"/>
  <c r="S372" i="4"/>
  <c r="U372" i="4"/>
  <c r="T372" i="4"/>
  <c r="C374" i="4"/>
  <c r="V374" i="4"/>
  <c r="A374" i="4"/>
  <c r="T374" i="4"/>
  <c r="B375" i="4"/>
  <c r="AD376" i="4"/>
  <c r="AA377" i="4"/>
  <c r="C377" i="4"/>
  <c r="Z377" i="4"/>
  <c r="AD378" i="4"/>
  <c r="U381" i="4"/>
  <c r="Z381" i="4"/>
  <c r="T383" i="4"/>
  <c r="B388" i="4"/>
  <c r="C389" i="4"/>
  <c r="T390" i="4"/>
  <c r="A390" i="4"/>
  <c r="V390" i="4"/>
  <c r="S390" i="4"/>
  <c r="AB400" i="4"/>
  <c r="AB406" i="4"/>
  <c r="B406" i="4"/>
  <c r="AD406" i="4"/>
  <c r="W410" i="4"/>
  <c r="S410" i="4"/>
  <c r="T410" i="4"/>
  <c r="C410" i="4"/>
  <c r="U410" i="4"/>
  <c r="W411" i="4"/>
  <c r="AC414" i="4"/>
  <c r="AB416" i="4"/>
  <c r="AD417" i="4"/>
  <c r="Z417" i="4"/>
  <c r="AA417" i="4"/>
  <c r="AC417" i="4"/>
  <c r="AB417" i="4"/>
  <c r="AC420" i="4"/>
  <c r="AA420" i="4"/>
  <c r="C420" i="4"/>
  <c r="Z420" i="4"/>
  <c r="AD420" i="4"/>
  <c r="AB420" i="4"/>
  <c r="W427" i="4"/>
  <c r="V428" i="4"/>
  <c r="U434" i="4"/>
  <c r="T434" i="4"/>
  <c r="AD436" i="4"/>
  <c r="AD437" i="4"/>
  <c r="Z437" i="4"/>
  <c r="AB437" i="4"/>
  <c r="B437" i="4"/>
  <c r="AA437" i="4"/>
  <c r="AC437" i="4"/>
  <c r="T439" i="4"/>
  <c r="A439" i="4"/>
  <c r="S439" i="4"/>
  <c r="W439" i="4"/>
  <c r="C439" i="4"/>
  <c r="U439" i="4"/>
  <c r="T444" i="4"/>
  <c r="S444" i="4"/>
  <c r="W444" i="4"/>
  <c r="AC448" i="4"/>
  <c r="B448" i="4"/>
  <c r="Z448" i="4"/>
  <c r="AD448" i="4"/>
  <c r="AB448" i="4"/>
  <c r="AA448" i="4"/>
  <c r="V452" i="4"/>
  <c r="T452" i="4"/>
  <c r="S452" i="4"/>
  <c r="S464" i="4"/>
  <c r="T466" i="4"/>
  <c r="AA467" i="4"/>
  <c r="Z467" i="4"/>
  <c r="B467" i="4"/>
  <c r="AD467" i="4"/>
  <c r="AC467" i="4"/>
  <c r="V477" i="4"/>
  <c r="C477" i="4"/>
  <c r="T477" i="4"/>
  <c r="S477" i="4"/>
  <c r="U477" i="4"/>
  <c r="AA478" i="4"/>
  <c r="Z478" i="4"/>
  <c r="AD478" i="4"/>
  <c r="AC478" i="4"/>
  <c r="AB478" i="4"/>
  <c r="AA482" i="4"/>
  <c r="AB482" i="4"/>
  <c r="Z482" i="4"/>
  <c r="AC482" i="4"/>
  <c r="C482" i="4"/>
  <c r="AD485" i="4"/>
  <c r="Z485" i="4"/>
  <c r="AB485" i="4"/>
  <c r="B485" i="4"/>
  <c r="AA485" i="4"/>
  <c r="AC485" i="4"/>
  <c r="T489" i="4"/>
  <c r="AA489" i="4"/>
  <c r="AC494" i="4"/>
  <c r="AD497" i="4"/>
  <c r="Z497" i="4"/>
  <c r="AA497" i="4"/>
  <c r="AC497" i="4"/>
  <c r="AB497" i="4"/>
  <c r="AC500" i="4"/>
  <c r="AA500" i="4"/>
  <c r="C500" i="4"/>
  <c r="Z500" i="4"/>
  <c r="AD500" i="4"/>
  <c r="AB500" i="4"/>
  <c r="AA505" i="4"/>
  <c r="U514" i="4"/>
  <c r="A514" i="4"/>
  <c r="T514" i="4"/>
  <c r="C518" i="4"/>
  <c r="V518" i="4"/>
  <c r="T518" i="4"/>
  <c r="A518" i="4"/>
  <c r="AA214" i="4"/>
  <c r="A215" i="4"/>
  <c r="T215" i="4"/>
  <c r="AA218" i="4"/>
  <c r="A219" i="4"/>
  <c r="T219" i="4"/>
  <c r="AA222" i="4"/>
  <c r="A223" i="4"/>
  <c r="T223" i="4"/>
  <c r="AA226" i="4"/>
  <c r="A227" i="4"/>
  <c r="T227" i="4"/>
  <c r="AA230" i="4"/>
  <c r="A231" i="4"/>
  <c r="T231" i="4"/>
  <c r="AA234" i="4"/>
  <c r="T235" i="4"/>
  <c r="AA238" i="4"/>
  <c r="A239" i="4"/>
  <c r="T239" i="4"/>
  <c r="AA242" i="4"/>
  <c r="A243" i="4"/>
  <c r="T243" i="4"/>
  <c r="AA246" i="4"/>
  <c r="A247" i="4"/>
  <c r="T247" i="4"/>
  <c r="AA250" i="4"/>
  <c r="A251" i="4"/>
  <c r="T251" i="4"/>
  <c r="AA254" i="4"/>
  <c r="A255" i="4"/>
  <c r="T255" i="4"/>
  <c r="AA258" i="4"/>
  <c r="A259" i="4"/>
  <c r="T259" i="4"/>
  <c r="AA262" i="4"/>
  <c r="A263" i="4"/>
  <c r="T263" i="4"/>
  <c r="AA266" i="4"/>
  <c r="A267" i="4"/>
  <c r="T267" i="4"/>
  <c r="AA270" i="4"/>
  <c r="A271" i="4"/>
  <c r="T271" i="4"/>
  <c r="AA274" i="4"/>
  <c r="A275" i="4"/>
  <c r="T275" i="4"/>
  <c r="AA278" i="4"/>
  <c r="A279" i="4"/>
  <c r="T279" i="4"/>
  <c r="AA282" i="4"/>
  <c r="A283" i="4"/>
  <c r="T283" i="4"/>
  <c r="AA286" i="4"/>
  <c r="A287" i="4"/>
  <c r="T287" i="4"/>
  <c r="AA290" i="4"/>
  <c r="T291" i="4"/>
  <c r="AA294" i="4"/>
  <c r="A295" i="4"/>
  <c r="T295" i="4"/>
  <c r="AA298" i="4"/>
  <c r="A299" i="4"/>
  <c r="T299" i="4"/>
  <c r="AA302" i="4"/>
  <c r="A303" i="4"/>
  <c r="T303" i="4"/>
  <c r="AA306" i="4"/>
  <c r="T307" i="4"/>
  <c r="AA310" i="4"/>
  <c r="A311" i="4"/>
  <c r="T311" i="4"/>
  <c r="AA314" i="4"/>
  <c r="A315" i="4"/>
  <c r="T315" i="4"/>
  <c r="AA318" i="4"/>
  <c r="A319" i="4"/>
  <c r="T319" i="4"/>
  <c r="AA322" i="4"/>
  <c r="A323" i="4"/>
  <c r="T323" i="4"/>
  <c r="AA326" i="4"/>
  <c r="A327" i="4"/>
  <c r="T327" i="4"/>
  <c r="AA330" i="4"/>
  <c r="A331" i="4"/>
  <c r="T331" i="4"/>
  <c r="AA334" i="4"/>
  <c r="A335" i="4"/>
  <c r="T335" i="4"/>
  <c r="AA338" i="4"/>
  <c r="A339" i="4"/>
  <c r="T339" i="4"/>
  <c r="AA342" i="4"/>
  <c r="A343" i="4"/>
  <c r="T343" i="4"/>
  <c r="AA346" i="4"/>
  <c r="T347" i="4"/>
  <c r="AA350" i="4"/>
  <c r="A351" i="4"/>
  <c r="T351" i="4"/>
  <c r="AA354" i="4"/>
  <c r="A355" i="4"/>
  <c r="T355" i="4"/>
  <c r="AA358" i="4"/>
  <c r="A359" i="4"/>
  <c r="T359" i="4"/>
  <c r="AA362" i="4"/>
  <c r="V363" i="4"/>
  <c r="C363" i="4"/>
  <c r="U363" i="4"/>
  <c r="B364" i="4"/>
  <c r="W364" i="4"/>
  <c r="S364" i="4"/>
  <c r="V364" i="4"/>
  <c r="C366" i="4"/>
  <c r="B367" i="4"/>
  <c r="AA368" i="4"/>
  <c r="AC368" i="4"/>
  <c r="AB369" i="4"/>
  <c r="AC369" i="4"/>
  <c r="AC370" i="4"/>
  <c r="AB370" i="4"/>
  <c r="AD371" i="4"/>
  <c r="Z371" i="4"/>
  <c r="AC371" i="4"/>
  <c r="T377" i="4"/>
  <c r="A377" i="4"/>
  <c r="V377" i="4"/>
  <c r="U378" i="4"/>
  <c r="V378" i="4"/>
  <c r="V379" i="4"/>
  <c r="C379" i="4"/>
  <c r="U379" i="4"/>
  <c r="W380" i="4"/>
  <c r="S380" i="4"/>
  <c r="V380" i="4"/>
  <c r="C382" i="4"/>
  <c r="AD383" i="4"/>
  <c r="Z383" i="4"/>
  <c r="AC383" i="4"/>
  <c r="W384" i="4"/>
  <c r="S384" i="4"/>
  <c r="V384" i="4"/>
  <c r="C384" i="4"/>
  <c r="AA384" i="4"/>
  <c r="AD384" i="4"/>
  <c r="Z384" i="4"/>
  <c r="T385" i="4"/>
  <c r="A385" i="4"/>
  <c r="W385" i="4"/>
  <c r="S385" i="4"/>
  <c r="AB385" i="4"/>
  <c r="AD385" i="4"/>
  <c r="U386" i="4"/>
  <c r="AD391" i="4"/>
  <c r="Z391" i="4"/>
  <c r="AC391" i="4"/>
  <c r="B391" i="4"/>
  <c r="W392" i="4"/>
  <c r="S392" i="4"/>
  <c r="V392" i="4"/>
  <c r="AA392" i="4"/>
  <c r="AD392" i="4"/>
  <c r="Z392" i="4"/>
  <c r="T393" i="4"/>
  <c r="W393" i="4"/>
  <c r="S393" i="4"/>
  <c r="U394" i="4"/>
  <c r="V400" i="4"/>
  <c r="T400" i="4"/>
  <c r="AD401" i="4"/>
  <c r="Z401" i="4"/>
  <c r="AA401" i="4"/>
  <c r="U402" i="4"/>
  <c r="A402" i="4"/>
  <c r="AB403" i="4"/>
  <c r="AC404" i="4"/>
  <c r="AA404" i="4"/>
  <c r="C404" i="4"/>
  <c r="Z404" i="4"/>
  <c r="T407" i="4"/>
  <c r="A407" i="4"/>
  <c r="S407" i="4"/>
  <c r="W407" i="4"/>
  <c r="C407" i="4"/>
  <c r="V409" i="4"/>
  <c r="C409" i="4"/>
  <c r="S409" i="4"/>
  <c r="W409" i="4"/>
  <c r="U412" i="4"/>
  <c r="V413" i="4"/>
  <c r="C413" i="4"/>
  <c r="T413" i="4"/>
  <c r="S413" i="4"/>
  <c r="W414" i="4"/>
  <c r="S414" i="4"/>
  <c r="U414" i="4"/>
  <c r="T414" i="4"/>
  <c r="AA418" i="4"/>
  <c r="AB418" i="4"/>
  <c r="B418" i="4"/>
  <c r="Z418" i="4"/>
  <c r="AB422" i="4"/>
  <c r="AA430" i="4"/>
  <c r="Z430" i="4"/>
  <c r="AD430" i="4"/>
  <c r="AA435" i="4"/>
  <c r="Z435" i="4"/>
  <c r="B435" i="4"/>
  <c r="AC439" i="4"/>
  <c r="AA439" i="4"/>
  <c r="T440" i="4"/>
  <c r="Z440" i="4"/>
  <c r="W442" i="4"/>
  <c r="S442" i="4"/>
  <c r="T442" i="4"/>
  <c r="C442" i="4"/>
  <c r="T443" i="4"/>
  <c r="A443" i="4"/>
  <c r="U443" i="4"/>
  <c r="S443" i="4"/>
  <c r="AA446" i="4"/>
  <c r="Z446" i="4"/>
  <c r="AD446" i="4"/>
  <c r="AA451" i="4"/>
  <c r="Z451" i="4"/>
  <c r="AD453" i="4"/>
  <c r="Z453" i="4"/>
  <c r="AB453" i="4"/>
  <c r="B453" i="4"/>
  <c r="AA453" i="4"/>
  <c r="AD456" i="4"/>
  <c r="V457" i="4"/>
  <c r="C457" i="4"/>
  <c r="S457" i="4"/>
  <c r="W457" i="4"/>
  <c r="U460" i="4"/>
  <c r="V461" i="4"/>
  <c r="C461" i="4"/>
  <c r="T461" i="4"/>
  <c r="S461" i="4"/>
  <c r="W462" i="4"/>
  <c r="S462" i="4"/>
  <c r="U462" i="4"/>
  <c r="A462" i="4"/>
  <c r="T462" i="4"/>
  <c r="AA466" i="4"/>
  <c r="AB466" i="4"/>
  <c r="B466" i="4"/>
  <c r="Z466" i="4"/>
  <c r="AB470" i="4"/>
  <c r="B470" i="4"/>
  <c r="AB473" i="4"/>
  <c r="B473" i="4"/>
  <c r="T476" i="4"/>
  <c r="S476" i="4"/>
  <c r="AC480" i="4"/>
  <c r="B480" i="4"/>
  <c r="Z480" i="4"/>
  <c r="AD480" i="4"/>
  <c r="T487" i="4"/>
  <c r="S487" i="4"/>
  <c r="W487" i="4"/>
  <c r="C487" i="4"/>
  <c r="V489" i="4"/>
  <c r="S489" i="4"/>
  <c r="W489" i="4"/>
  <c r="U492" i="4"/>
  <c r="V493" i="4"/>
  <c r="C493" i="4"/>
  <c r="T493" i="4"/>
  <c r="S493" i="4"/>
  <c r="W494" i="4"/>
  <c r="S494" i="4"/>
  <c r="U494" i="4"/>
  <c r="T494" i="4"/>
  <c r="AA498" i="4"/>
  <c r="AB498" i="4"/>
  <c r="B498" i="4"/>
  <c r="Z498" i="4"/>
  <c r="AB502" i="4"/>
  <c r="B502" i="4"/>
  <c r="Z504" i="4"/>
  <c r="W506" i="4"/>
  <c r="S506" i="4"/>
  <c r="T506" i="4"/>
  <c r="C506" i="4"/>
  <c r="T507" i="4"/>
  <c r="A507" i="4"/>
  <c r="U507" i="4"/>
  <c r="S507" i="4"/>
  <c r="AA510" i="4"/>
  <c r="Z510" i="4"/>
  <c r="AD510" i="4"/>
  <c r="AD515" i="4"/>
  <c r="Z515" i="4"/>
  <c r="AC515" i="4"/>
  <c r="AC517" i="4"/>
  <c r="AA517" i="4"/>
  <c r="V521" i="4"/>
  <c r="C521" i="4"/>
  <c r="T521" i="4"/>
  <c r="S521" i="4"/>
  <c r="W524" i="4"/>
  <c r="S524" i="4"/>
  <c r="A524" i="4"/>
  <c r="V524" i="4"/>
  <c r="U544" i="4"/>
  <c r="A544" i="4"/>
  <c r="T544" i="4"/>
  <c r="T553" i="4"/>
  <c r="A553" i="4"/>
  <c r="U553" i="4"/>
  <c r="S553" i="4"/>
  <c r="W553" i="4"/>
  <c r="C553" i="4"/>
  <c r="V553" i="4"/>
  <c r="U576" i="4"/>
  <c r="A576" i="4"/>
  <c r="T576" i="4"/>
  <c r="T585" i="4"/>
  <c r="A585" i="4"/>
  <c r="U585" i="4"/>
  <c r="S585" i="4"/>
  <c r="W585" i="4"/>
  <c r="C585" i="4"/>
  <c r="V585" i="4"/>
  <c r="U608" i="4"/>
  <c r="A608" i="4"/>
  <c r="T608" i="4"/>
  <c r="V618" i="4"/>
  <c r="C618" i="4"/>
  <c r="W618" i="4"/>
  <c r="T618" i="4"/>
  <c r="U618" i="4"/>
  <c r="S618" i="4"/>
  <c r="A618" i="4"/>
  <c r="Z619" i="4"/>
  <c r="AD619" i="4"/>
  <c r="AB619" i="4"/>
  <c r="U644" i="4"/>
  <c r="S644" i="4"/>
  <c r="W644" i="4"/>
  <c r="AA364" i="4"/>
  <c r="AC364" i="4"/>
  <c r="AB365" i="4"/>
  <c r="AC366" i="4"/>
  <c r="AB366" i="4"/>
  <c r="AD367" i="4"/>
  <c r="Z367" i="4"/>
  <c r="AC367" i="4"/>
  <c r="T373" i="4"/>
  <c r="A373" i="4"/>
  <c r="V373" i="4"/>
  <c r="U374" i="4"/>
  <c r="V375" i="4"/>
  <c r="C375" i="4"/>
  <c r="U375" i="4"/>
  <c r="W376" i="4"/>
  <c r="S376" i="4"/>
  <c r="V376" i="4"/>
  <c r="AA380" i="4"/>
  <c r="AC380" i="4"/>
  <c r="AB381" i="4"/>
  <c r="AC382" i="4"/>
  <c r="AB382" i="4"/>
  <c r="T386" i="4"/>
  <c r="A386" i="4"/>
  <c r="T394" i="4"/>
  <c r="A394" i="4"/>
  <c r="AA398" i="4"/>
  <c r="Z398" i="4"/>
  <c r="AD398" i="4"/>
  <c r="AA403" i="4"/>
  <c r="Z403" i="4"/>
  <c r="AC407" i="4"/>
  <c r="AA407" i="4"/>
  <c r="AB409" i="4"/>
  <c r="B409" i="4"/>
  <c r="T412" i="4"/>
  <c r="S412" i="4"/>
  <c r="AC416" i="4"/>
  <c r="Z416" i="4"/>
  <c r="AD416" i="4"/>
  <c r="AD421" i="4"/>
  <c r="Z421" i="4"/>
  <c r="AB421" i="4"/>
  <c r="B421" i="4"/>
  <c r="AA421" i="4"/>
  <c r="W426" i="4"/>
  <c r="S426" i="4"/>
  <c r="T426" i="4"/>
  <c r="C426" i="4"/>
  <c r="T427" i="4"/>
  <c r="A427" i="4"/>
  <c r="U427" i="4"/>
  <c r="S427" i="4"/>
  <c r="U428" i="4"/>
  <c r="V429" i="4"/>
  <c r="C429" i="4"/>
  <c r="T429" i="4"/>
  <c r="S429" i="4"/>
  <c r="W430" i="4"/>
  <c r="S430" i="4"/>
  <c r="U430" i="4"/>
  <c r="T430" i="4"/>
  <c r="AA434" i="4"/>
  <c r="AB434" i="4"/>
  <c r="B434" i="4"/>
  <c r="Z434" i="4"/>
  <c r="AB438" i="4"/>
  <c r="V440" i="4"/>
  <c r="AD440" i="4"/>
  <c r="V441" i="4"/>
  <c r="C441" i="4"/>
  <c r="S441" i="4"/>
  <c r="W441" i="4"/>
  <c r="U444" i="4"/>
  <c r="V445" i="4"/>
  <c r="C445" i="4"/>
  <c r="T445" i="4"/>
  <c r="S445" i="4"/>
  <c r="W446" i="4"/>
  <c r="S446" i="4"/>
  <c r="U446" i="4"/>
  <c r="A446" i="4"/>
  <c r="T446" i="4"/>
  <c r="AA450" i="4"/>
  <c r="AB450" i="4"/>
  <c r="Z450" i="4"/>
  <c r="AC452" i="4"/>
  <c r="B452" i="4"/>
  <c r="AA452" i="4"/>
  <c r="C452" i="4"/>
  <c r="Z452" i="4"/>
  <c r="T455" i="4"/>
  <c r="A455" i="4"/>
  <c r="S455" i="4"/>
  <c r="W455" i="4"/>
  <c r="C455" i="4"/>
  <c r="AB457" i="4"/>
  <c r="B457" i="4"/>
  <c r="T460" i="4"/>
  <c r="S460" i="4"/>
  <c r="AC464" i="4"/>
  <c r="Z464" i="4"/>
  <c r="AD464" i="4"/>
  <c r="AD469" i="4"/>
  <c r="Z469" i="4"/>
  <c r="AB469" i="4"/>
  <c r="B469" i="4"/>
  <c r="AA469" i="4"/>
  <c r="V480" i="4"/>
  <c r="A480" i="4"/>
  <c r="T480" i="4"/>
  <c r="AD481" i="4"/>
  <c r="Z481" i="4"/>
  <c r="AA481" i="4"/>
  <c r="U482" i="4"/>
  <c r="A482" i="4"/>
  <c r="AB483" i="4"/>
  <c r="AC484" i="4"/>
  <c r="B484" i="4"/>
  <c r="AA484" i="4"/>
  <c r="C484" i="4"/>
  <c r="Z484" i="4"/>
  <c r="AC487" i="4"/>
  <c r="AA487" i="4"/>
  <c r="T492" i="4"/>
  <c r="S492" i="4"/>
  <c r="AC496" i="4"/>
  <c r="B496" i="4"/>
  <c r="Z496" i="4"/>
  <c r="AD496" i="4"/>
  <c r="AD501" i="4"/>
  <c r="Z501" i="4"/>
  <c r="AB501" i="4"/>
  <c r="AA501" i="4"/>
  <c r="AD504" i="4"/>
  <c r="V505" i="4"/>
  <c r="C505" i="4"/>
  <c r="S505" i="4"/>
  <c r="W505" i="4"/>
  <c r="U508" i="4"/>
  <c r="V509" i="4"/>
  <c r="C509" i="4"/>
  <c r="T509" i="4"/>
  <c r="S509" i="4"/>
  <c r="W510" i="4"/>
  <c r="S510" i="4"/>
  <c r="U510" i="4"/>
  <c r="T510" i="4"/>
  <c r="AA514" i="4"/>
  <c r="AB514" i="4"/>
  <c r="B514" i="4"/>
  <c r="Z514" i="4"/>
  <c r="W518" i="4"/>
  <c r="T519" i="4"/>
  <c r="A519" i="4"/>
  <c r="V519" i="4"/>
  <c r="C519" i="4"/>
  <c r="U519" i="4"/>
  <c r="S519" i="4"/>
  <c r="AC520" i="4"/>
  <c r="B520" i="4"/>
  <c r="AA520" i="4"/>
  <c r="Z520" i="4"/>
  <c r="C520" i="4"/>
  <c r="AB535" i="4"/>
  <c r="B535" i="4"/>
  <c r="AA535" i="4"/>
  <c r="W540" i="4"/>
  <c r="S540" i="4"/>
  <c r="U540" i="4"/>
  <c r="A540" i="4"/>
  <c r="T540" i="4"/>
  <c r="C540" i="4"/>
  <c r="V540" i="4"/>
  <c r="U557" i="4"/>
  <c r="S557" i="4"/>
  <c r="AB567" i="4"/>
  <c r="B567" i="4"/>
  <c r="AA567" i="4"/>
  <c r="W572" i="4"/>
  <c r="S572" i="4"/>
  <c r="U572" i="4"/>
  <c r="A572" i="4"/>
  <c r="T572" i="4"/>
  <c r="C572" i="4"/>
  <c r="V572" i="4"/>
  <c r="U589" i="4"/>
  <c r="S589" i="4"/>
  <c r="AB599" i="4"/>
  <c r="B599" i="4"/>
  <c r="AA599" i="4"/>
  <c r="W604" i="4"/>
  <c r="S604" i="4"/>
  <c r="U604" i="4"/>
  <c r="A604" i="4"/>
  <c r="T604" i="4"/>
  <c r="C604" i="4"/>
  <c r="V604" i="4"/>
  <c r="AB386" i="4"/>
  <c r="U387" i="4"/>
  <c r="AB390" i="4"/>
  <c r="U391" i="4"/>
  <c r="AB394" i="4"/>
  <c r="U395" i="4"/>
  <c r="AC396" i="4"/>
  <c r="B396" i="4"/>
  <c r="AB396" i="4"/>
  <c r="AD397" i="4"/>
  <c r="Z397" i="4"/>
  <c r="AC397" i="4"/>
  <c r="AD399" i="4"/>
  <c r="T403" i="4"/>
  <c r="V403" i="4"/>
  <c r="V405" i="4"/>
  <c r="C405" i="4"/>
  <c r="U405" i="4"/>
  <c r="W406" i="4"/>
  <c r="S406" i="4"/>
  <c r="V406" i="4"/>
  <c r="W408" i="4"/>
  <c r="AC410" i="4"/>
  <c r="AC412" i="4"/>
  <c r="B412" i="4"/>
  <c r="AB412" i="4"/>
  <c r="AD413" i="4"/>
  <c r="Z413" i="4"/>
  <c r="AC413" i="4"/>
  <c r="AD415" i="4"/>
  <c r="T419" i="4"/>
  <c r="A419" i="4"/>
  <c r="V419" i="4"/>
  <c r="V421" i="4"/>
  <c r="C421" i="4"/>
  <c r="U421" i="4"/>
  <c r="W422" i="4"/>
  <c r="S422" i="4"/>
  <c r="V422" i="4"/>
  <c r="W424" i="4"/>
  <c r="AC426" i="4"/>
  <c r="AB427" i="4"/>
  <c r="AC427" i="4"/>
  <c r="AC428" i="4"/>
  <c r="AB428" i="4"/>
  <c r="AD429" i="4"/>
  <c r="Z429" i="4"/>
  <c r="AC429" i="4"/>
  <c r="AD431" i="4"/>
  <c r="T435" i="4"/>
  <c r="V435" i="4"/>
  <c r="V437" i="4"/>
  <c r="C437" i="4"/>
  <c r="U437" i="4"/>
  <c r="W438" i="4"/>
  <c r="S438" i="4"/>
  <c r="V438" i="4"/>
  <c r="W440" i="4"/>
  <c r="AC442" i="4"/>
  <c r="AC444" i="4"/>
  <c r="B444" i="4"/>
  <c r="AB444" i="4"/>
  <c r="AD445" i="4"/>
  <c r="Z445" i="4"/>
  <c r="AC445" i="4"/>
  <c r="AD447" i="4"/>
  <c r="T451" i="4"/>
  <c r="V451" i="4"/>
  <c r="U452" i="4"/>
  <c r="V453" i="4"/>
  <c r="C453" i="4"/>
  <c r="U453" i="4"/>
  <c r="W454" i="4"/>
  <c r="S454" i="4"/>
  <c r="V454" i="4"/>
  <c r="W456" i="4"/>
  <c r="AC458" i="4"/>
  <c r="AC460" i="4"/>
  <c r="B460" i="4"/>
  <c r="AB460" i="4"/>
  <c r="AD461" i="4"/>
  <c r="Z461" i="4"/>
  <c r="AC461" i="4"/>
  <c r="AD463" i="4"/>
  <c r="T467" i="4"/>
  <c r="A467" i="4"/>
  <c r="V467" i="4"/>
  <c r="V469" i="4"/>
  <c r="C469" i="4"/>
  <c r="U469" i="4"/>
  <c r="W470" i="4"/>
  <c r="S470" i="4"/>
  <c r="V470" i="4"/>
  <c r="W472" i="4"/>
  <c r="AC474" i="4"/>
  <c r="AC476" i="4"/>
  <c r="B476" i="4"/>
  <c r="AB476" i="4"/>
  <c r="AD477" i="4"/>
  <c r="Z477" i="4"/>
  <c r="AC477" i="4"/>
  <c r="AD479" i="4"/>
  <c r="T483" i="4"/>
  <c r="V483" i="4"/>
  <c r="V485" i="4"/>
  <c r="C485" i="4"/>
  <c r="U485" i="4"/>
  <c r="W486" i="4"/>
  <c r="S486" i="4"/>
  <c r="V486" i="4"/>
  <c r="W488" i="4"/>
  <c r="AC490" i="4"/>
  <c r="AC492" i="4"/>
  <c r="B492" i="4"/>
  <c r="AB492" i="4"/>
  <c r="AD493" i="4"/>
  <c r="Z493" i="4"/>
  <c r="AC493" i="4"/>
  <c r="AD495" i="4"/>
  <c r="T499" i="4"/>
  <c r="A499" i="4"/>
  <c r="V499" i="4"/>
  <c r="V501" i="4"/>
  <c r="C501" i="4"/>
  <c r="U501" i="4"/>
  <c r="W502" i="4"/>
  <c r="S502" i="4"/>
  <c r="V502" i="4"/>
  <c r="W504" i="4"/>
  <c r="AC506" i="4"/>
  <c r="AC508" i="4"/>
  <c r="B508" i="4"/>
  <c r="AB508" i="4"/>
  <c r="AD509" i="4"/>
  <c r="Z509" i="4"/>
  <c r="AC509" i="4"/>
  <c r="AD511" i="4"/>
  <c r="T515" i="4"/>
  <c r="A515" i="4"/>
  <c r="V515" i="4"/>
  <c r="W515" i="4"/>
  <c r="AD519" i="4"/>
  <c r="Z519" i="4"/>
  <c r="W520" i="4"/>
  <c r="S520" i="4"/>
  <c r="AA522" i="4"/>
  <c r="AC522" i="4"/>
  <c r="B522" i="4"/>
  <c r="AD522" i="4"/>
  <c r="T523" i="4"/>
  <c r="A523" i="4"/>
  <c r="V523" i="4"/>
  <c r="C523" i="4"/>
  <c r="W523" i="4"/>
  <c r="T527" i="4"/>
  <c r="W527" i="4"/>
  <c r="S527" i="4"/>
  <c r="V527" i="4"/>
  <c r="AA527" i="4"/>
  <c r="AD527" i="4"/>
  <c r="Z527" i="4"/>
  <c r="AD531" i="4"/>
  <c r="Z531" i="4"/>
  <c r="AB531" i="4"/>
  <c r="AA531" i="4"/>
  <c r="T537" i="4"/>
  <c r="A537" i="4"/>
  <c r="U537" i="4"/>
  <c r="S537" i="4"/>
  <c r="W537" i="4"/>
  <c r="C537" i="4"/>
  <c r="U541" i="4"/>
  <c r="S541" i="4"/>
  <c r="AA544" i="4"/>
  <c r="AB544" i="4"/>
  <c r="B544" i="4"/>
  <c r="Z544" i="4"/>
  <c r="AD544" i="4"/>
  <c r="AB551" i="4"/>
  <c r="B551" i="4"/>
  <c r="AA551" i="4"/>
  <c r="W556" i="4"/>
  <c r="S556" i="4"/>
  <c r="U556" i="4"/>
  <c r="T556" i="4"/>
  <c r="C556" i="4"/>
  <c r="AD563" i="4"/>
  <c r="Z563" i="4"/>
  <c r="AB563" i="4"/>
  <c r="B563" i="4"/>
  <c r="AA563" i="4"/>
  <c r="T569" i="4"/>
  <c r="A569" i="4"/>
  <c r="U569" i="4"/>
  <c r="S569" i="4"/>
  <c r="W569" i="4"/>
  <c r="C569" i="4"/>
  <c r="U573" i="4"/>
  <c r="S573" i="4"/>
  <c r="AA576" i="4"/>
  <c r="AB576" i="4"/>
  <c r="B576" i="4"/>
  <c r="Z576" i="4"/>
  <c r="AD576" i="4"/>
  <c r="AB583" i="4"/>
  <c r="B583" i="4"/>
  <c r="AA583" i="4"/>
  <c r="W588" i="4"/>
  <c r="S588" i="4"/>
  <c r="U588" i="4"/>
  <c r="A588" i="4"/>
  <c r="T588" i="4"/>
  <c r="C588" i="4"/>
  <c r="AD595" i="4"/>
  <c r="Z595" i="4"/>
  <c r="AB595" i="4"/>
  <c r="AA595" i="4"/>
  <c r="T601" i="4"/>
  <c r="A601" i="4"/>
  <c r="U601" i="4"/>
  <c r="S601" i="4"/>
  <c r="W601" i="4"/>
  <c r="C601" i="4"/>
  <c r="U605" i="4"/>
  <c r="S605" i="4"/>
  <c r="AA608" i="4"/>
  <c r="AB608" i="4"/>
  <c r="B608" i="4"/>
  <c r="Z608" i="4"/>
  <c r="AD608" i="4"/>
  <c r="AD634" i="4"/>
  <c r="Z634" i="4"/>
  <c r="AB634" i="4"/>
  <c r="B634" i="4"/>
  <c r="AA634" i="4"/>
  <c r="AC634" i="4"/>
  <c r="AD666" i="4"/>
  <c r="Z666" i="4"/>
  <c r="AB666" i="4"/>
  <c r="B666" i="4"/>
  <c r="AA666" i="4"/>
  <c r="AC666" i="4"/>
  <c r="B386" i="4"/>
  <c r="C387" i="4"/>
  <c r="C391" i="4"/>
  <c r="B394" i="4"/>
  <c r="C395" i="4"/>
  <c r="AD396" i="4"/>
  <c r="B399" i="4"/>
  <c r="T399" i="4"/>
  <c r="A399" i="4"/>
  <c r="V399" i="4"/>
  <c r="U400" i="4"/>
  <c r="V401" i="4"/>
  <c r="C401" i="4"/>
  <c r="U401" i="4"/>
  <c r="W402" i="4"/>
  <c r="S402" i="4"/>
  <c r="V402" i="4"/>
  <c r="W403" i="4"/>
  <c r="W405" i="4"/>
  <c r="C406" i="4"/>
  <c r="AA406" i="4"/>
  <c r="AC406" i="4"/>
  <c r="AB407" i="4"/>
  <c r="AC408" i="4"/>
  <c r="B408" i="4"/>
  <c r="AB408" i="4"/>
  <c r="AD409" i="4"/>
  <c r="Z409" i="4"/>
  <c r="AC409" i="4"/>
  <c r="AD410" i="4"/>
  <c r="AD412" i="4"/>
  <c r="B415" i="4"/>
  <c r="T415" i="4"/>
  <c r="A415" i="4"/>
  <c r="V415" i="4"/>
  <c r="U416" i="4"/>
  <c r="V417" i="4"/>
  <c r="C417" i="4"/>
  <c r="U417" i="4"/>
  <c r="W418" i="4"/>
  <c r="S418" i="4"/>
  <c r="V418" i="4"/>
  <c r="C419" i="4"/>
  <c r="W419" i="4"/>
  <c r="W421" i="4"/>
  <c r="C422" i="4"/>
  <c r="AA422" i="4"/>
  <c r="AC422" i="4"/>
  <c r="AB423" i="4"/>
  <c r="AC424" i="4"/>
  <c r="B424" i="4"/>
  <c r="AB424" i="4"/>
  <c r="AD425" i="4"/>
  <c r="Z425" i="4"/>
  <c r="AC425" i="4"/>
  <c r="AD426" i="4"/>
  <c r="AD428" i="4"/>
  <c r="T431" i="4"/>
  <c r="V431" i="4"/>
  <c r="U432" i="4"/>
  <c r="V433" i="4"/>
  <c r="C433" i="4"/>
  <c r="U433" i="4"/>
  <c r="W434" i="4"/>
  <c r="S434" i="4"/>
  <c r="V434" i="4"/>
  <c r="C435" i="4"/>
  <c r="W435" i="4"/>
  <c r="W437" i="4"/>
  <c r="C438" i="4"/>
  <c r="AA438" i="4"/>
  <c r="AC438" i="4"/>
  <c r="AB439" i="4"/>
  <c r="AC440" i="4"/>
  <c r="AB440" i="4"/>
  <c r="AD441" i="4"/>
  <c r="Z441" i="4"/>
  <c r="AC441" i="4"/>
  <c r="AD442" i="4"/>
  <c r="AD444" i="4"/>
  <c r="B447" i="4"/>
  <c r="T447" i="4"/>
  <c r="V447" i="4"/>
  <c r="U448" i="4"/>
  <c r="V449" i="4"/>
  <c r="C449" i="4"/>
  <c r="U449" i="4"/>
  <c r="W450" i="4"/>
  <c r="S450" i="4"/>
  <c r="V450" i="4"/>
  <c r="W451" i="4"/>
  <c r="W453" i="4"/>
  <c r="C454" i="4"/>
  <c r="AA454" i="4"/>
  <c r="AC454" i="4"/>
  <c r="AB455" i="4"/>
  <c r="AC456" i="4"/>
  <c r="AB456" i="4"/>
  <c r="AD457" i="4"/>
  <c r="Z457" i="4"/>
  <c r="AC457" i="4"/>
  <c r="AD458" i="4"/>
  <c r="AD460" i="4"/>
  <c r="B463" i="4"/>
  <c r="T463" i="4"/>
  <c r="V463" i="4"/>
  <c r="U464" i="4"/>
  <c r="V465" i="4"/>
  <c r="C465" i="4"/>
  <c r="U465" i="4"/>
  <c r="W466" i="4"/>
  <c r="S466" i="4"/>
  <c r="V466" i="4"/>
  <c r="C467" i="4"/>
  <c r="W467" i="4"/>
  <c r="W469" i="4"/>
  <c r="C470" i="4"/>
  <c r="AA470" i="4"/>
  <c r="AC470" i="4"/>
  <c r="AB471" i="4"/>
  <c r="AC472" i="4"/>
  <c r="B472" i="4"/>
  <c r="AB472" i="4"/>
  <c r="AD473" i="4"/>
  <c r="Z473" i="4"/>
  <c r="AC473" i="4"/>
  <c r="AD474" i="4"/>
  <c r="AD476" i="4"/>
  <c r="B479" i="4"/>
  <c r="T479" i="4"/>
  <c r="A479" i="4"/>
  <c r="V479" i="4"/>
  <c r="U480" i="4"/>
  <c r="V481" i="4"/>
  <c r="C481" i="4"/>
  <c r="U481" i="4"/>
  <c r="W482" i="4"/>
  <c r="S482" i="4"/>
  <c r="V482" i="4"/>
  <c r="C483" i="4"/>
  <c r="W483" i="4"/>
  <c r="W485" i="4"/>
  <c r="C486" i="4"/>
  <c r="AA486" i="4"/>
  <c r="AC486" i="4"/>
  <c r="AB487" i="4"/>
  <c r="AC488" i="4"/>
  <c r="B488" i="4"/>
  <c r="AB488" i="4"/>
  <c r="AD489" i="4"/>
  <c r="Z489" i="4"/>
  <c r="AC489" i="4"/>
  <c r="AD490" i="4"/>
  <c r="AD492" i="4"/>
  <c r="B495" i="4"/>
  <c r="T495" i="4"/>
  <c r="V495" i="4"/>
  <c r="U496" i="4"/>
  <c r="V497" i="4"/>
  <c r="C497" i="4"/>
  <c r="U497" i="4"/>
  <c r="W498" i="4"/>
  <c r="S498" i="4"/>
  <c r="V498" i="4"/>
  <c r="C499" i="4"/>
  <c r="W499" i="4"/>
  <c r="W501" i="4"/>
  <c r="C502" i="4"/>
  <c r="AA502" i="4"/>
  <c r="AC502" i="4"/>
  <c r="AB503" i="4"/>
  <c r="AC504" i="4"/>
  <c r="AB504" i="4"/>
  <c r="AD505" i="4"/>
  <c r="Z505" i="4"/>
  <c r="AC505" i="4"/>
  <c r="AD506" i="4"/>
  <c r="AD508" i="4"/>
  <c r="B511" i="4"/>
  <c r="T511" i="4"/>
  <c r="A511" i="4"/>
  <c r="V511" i="4"/>
  <c r="U512" i="4"/>
  <c r="V513" i="4"/>
  <c r="C513" i="4"/>
  <c r="U513" i="4"/>
  <c r="W514" i="4"/>
  <c r="S514" i="4"/>
  <c r="V514" i="4"/>
  <c r="C515" i="4"/>
  <c r="AB515" i="4"/>
  <c r="U516" i="4"/>
  <c r="AC516" i="4"/>
  <c r="AA516" i="4"/>
  <c r="AD516" i="4"/>
  <c r="V517" i="4"/>
  <c r="C517" i="4"/>
  <c r="T517" i="4"/>
  <c r="A517" i="4"/>
  <c r="W517" i="4"/>
  <c r="AA519" i="4"/>
  <c r="T520" i="4"/>
  <c r="C522" i="4"/>
  <c r="AB523" i="4"/>
  <c r="U524" i="4"/>
  <c r="AC524" i="4"/>
  <c r="B524" i="4"/>
  <c r="AA524" i="4"/>
  <c r="AD524" i="4"/>
  <c r="AC527" i="4"/>
  <c r="U528" i="4"/>
  <c r="AB532" i="4"/>
  <c r="Z532" i="4"/>
  <c r="AC533" i="4"/>
  <c r="AA533" i="4"/>
  <c r="C533" i="4"/>
  <c r="Z533" i="4"/>
  <c r="V539" i="4"/>
  <c r="C539" i="4"/>
  <c r="T539" i="4"/>
  <c r="S539" i="4"/>
  <c r="W539" i="4"/>
  <c r="W541" i="4"/>
  <c r="V542" i="4"/>
  <c r="A542" i="4"/>
  <c r="T542" i="4"/>
  <c r="S542" i="4"/>
  <c r="AC546" i="4"/>
  <c r="AA546" i="4"/>
  <c r="C546" i="4"/>
  <c r="Z546" i="4"/>
  <c r="AD546" i="4"/>
  <c r="U560" i="4"/>
  <c r="A560" i="4"/>
  <c r="T560" i="4"/>
  <c r="AB564" i="4"/>
  <c r="B564" i="4"/>
  <c r="Z564" i="4"/>
  <c r="AC565" i="4"/>
  <c r="AA565" i="4"/>
  <c r="C565" i="4"/>
  <c r="Z565" i="4"/>
  <c r="V571" i="4"/>
  <c r="C571" i="4"/>
  <c r="T571" i="4"/>
  <c r="S571" i="4"/>
  <c r="W571" i="4"/>
  <c r="W573" i="4"/>
  <c r="V574" i="4"/>
  <c r="A574" i="4"/>
  <c r="T574" i="4"/>
  <c r="S574" i="4"/>
  <c r="AC578" i="4"/>
  <c r="B578" i="4"/>
  <c r="AA578" i="4"/>
  <c r="C578" i="4"/>
  <c r="Z578" i="4"/>
  <c r="AD578" i="4"/>
  <c r="U592" i="4"/>
  <c r="A592" i="4"/>
  <c r="T592" i="4"/>
  <c r="AB596" i="4"/>
  <c r="B596" i="4"/>
  <c r="Z596" i="4"/>
  <c r="AC597" i="4"/>
  <c r="AA597" i="4"/>
  <c r="C597" i="4"/>
  <c r="Z597" i="4"/>
  <c r="B597" i="4"/>
  <c r="V603" i="4"/>
  <c r="C603" i="4"/>
  <c r="T603" i="4"/>
  <c r="S603" i="4"/>
  <c r="W603" i="4"/>
  <c r="W605" i="4"/>
  <c r="V606" i="4"/>
  <c r="A606" i="4"/>
  <c r="T606" i="4"/>
  <c r="S606" i="4"/>
  <c r="AD610" i="4"/>
  <c r="Z610" i="4"/>
  <c r="AB610" i="4"/>
  <c r="C610" i="4"/>
  <c r="AA610" i="4"/>
  <c r="AD618" i="4"/>
  <c r="Z618" i="4"/>
  <c r="AB618" i="4"/>
  <c r="AC618" i="4"/>
  <c r="AA618" i="4"/>
  <c r="T640" i="4"/>
  <c r="A640" i="4"/>
  <c r="U640" i="4"/>
  <c r="S640" i="4"/>
  <c r="W640" i="4"/>
  <c r="C640" i="4"/>
  <c r="V640" i="4"/>
  <c r="AA647" i="4"/>
  <c r="AB647" i="4"/>
  <c r="Z647" i="4"/>
  <c r="AD647" i="4"/>
  <c r="C647" i="4"/>
  <c r="AC647" i="4"/>
  <c r="AB517" i="4"/>
  <c r="U518" i="4"/>
  <c r="AB521" i="4"/>
  <c r="U522" i="4"/>
  <c r="A525" i="4"/>
  <c r="T525" i="4"/>
  <c r="AB525" i="4"/>
  <c r="U526" i="4"/>
  <c r="AA528" i="4"/>
  <c r="A529" i="4"/>
  <c r="T529" i="4"/>
  <c r="AB529" i="4"/>
  <c r="U530" i="4"/>
  <c r="A532" i="4"/>
  <c r="T533" i="4"/>
  <c r="A533" i="4"/>
  <c r="V533" i="4"/>
  <c r="A534" i="4"/>
  <c r="U534" i="4"/>
  <c r="V534" i="4"/>
  <c r="V535" i="4"/>
  <c r="C535" i="4"/>
  <c r="U535" i="4"/>
  <c r="W536" i="4"/>
  <c r="S536" i="4"/>
  <c r="V536" i="4"/>
  <c r="AB536" i="4"/>
  <c r="C538" i="4"/>
  <c r="W538" i="4"/>
  <c r="B539" i="4"/>
  <c r="AA540" i="4"/>
  <c r="AC540" i="4"/>
  <c r="AB541" i="4"/>
  <c r="AC541" i="4"/>
  <c r="AC542" i="4"/>
  <c r="B542" i="4"/>
  <c r="AB542" i="4"/>
  <c r="AD543" i="4"/>
  <c r="Z543" i="4"/>
  <c r="AC543" i="4"/>
  <c r="AD545" i="4"/>
  <c r="A548" i="4"/>
  <c r="T549" i="4"/>
  <c r="V549" i="4"/>
  <c r="A550" i="4"/>
  <c r="U550" i="4"/>
  <c r="V550" i="4"/>
  <c r="V551" i="4"/>
  <c r="C551" i="4"/>
  <c r="U551" i="4"/>
  <c r="B552" i="4"/>
  <c r="W552" i="4"/>
  <c r="S552" i="4"/>
  <c r="V552" i="4"/>
  <c r="AB552" i="4"/>
  <c r="C554" i="4"/>
  <c r="W554" i="4"/>
  <c r="B555" i="4"/>
  <c r="AA556" i="4"/>
  <c r="AC556" i="4"/>
  <c r="AB557" i="4"/>
  <c r="AC557" i="4"/>
  <c r="AC558" i="4"/>
  <c r="AB558" i="4"/>
  <c r="AD559" i="4"/>
  <c r="Z559" i="4"/>
  <c r="AC559" i="4"/>
  <c r="AD561" i="4"/>
  <c r="T565" i="4"/>
  <c r="A565" i="4"/>
  <c r="V565" i="4"/>
  <c r="A566" i="4"/>
  <c r="U566" i="4"/>
  <c r="V566" i="4"/>
  <c r="V567" i="4"/>
  <c r="C567" i="4"/>
  <c r="U567" i="4"/>
  <c r="B568" i="4"/>
  <c r="W568" i="4"/>
  <c r="S568" i="4"/>
  <c r="V568" i="4"/>
  <c r="AB568" i="4"/>
  <c r="C570" i="4"/>
  <c r="W570" i="4"/>
  <c r="B571" i="4"/>
  <c r="AA572" i="4"/>
  <c r="AC572" i="4"/>
  <c r="AB573" i="4"/>
  <c r="AC573" i="4"/>
  <c r="AC574" i="4"/>
  <c r="B574" i="4"/>
  <c r="AB574" i="4"/>
  <c r="AD575" i="4"/>
  <c r="Z575" i="4"/>
  <c r="AC575" i="4"/>
  <c r="AD577" i="4"/>
  <c r="A580" i="4"/>
  <c r="T581" i="4"/>
  <c r="A581" i="4"/>
  <c r="V581" i="4"/>
  <c r="A582" i="4"/>
  <c r="U582" i="4"/>
  <c r="V582" i="4"/>
  <c r="V583" i="4"/>
  <c r="C583" i="4"/>
  <c r="U583" i="4"/>
  <c r="B584" i="4"/>
  <c r="W584" i="4"/>
  <c r="S584" i="4"/>
  <c r="V584" i="4"/>
  <c r="AB584" i="4"/>
  <c r="C586" i="4"/>
  <c r="W586" i="4"/>
  <c r="B587" i="4"/>
  <c r="AA588" i="4"/>
  <c r="AC588" i="4"/>
  <c r="AB589" i="4"/>
  <c r="AC589" i="4"/>
  <c r="AC590" i="4"/>
  <c r="B590" i="4"/>
  <c r="AB590" i="4"/>
  <c r="AD591" i="4"/>
  <c r="Z591" i="4"/>
  <c r="AC591" i="4"/>
  <c r="AD593" i="4"/>
  <c r="A596" i="4"/>
  <c r="T597" i="4"/>
  <c r="V597" i="4"/>
  <c r="A598" i="4"/>
  <c r="U598" i="4"/>
  <c r="V598" i="4"/>
  <c r="V599" i="4"/>
  <c r="C599" i="4"/>
  <c r="U599" i="4"/>
  <c r="B600" i="4"/>
  <c r="W600" i="4"/>
  <c r="S600" i="4"/>
  <c r="V600" i="4"/>
  <c r="AB600" i="4"/>
  <c r="C602" i="4"/>
  <c r="W602" i="4"/>
  <c r="B603" i="4"/>
  <c r="AA604" i="4"/>
  <c r="AC604" i="4"/>
  <c r="AB605" i="4"/>
  <c r="AC605" i="4"/>
  <c r="AC606" i="4"/>
  <c r="B606" i="4"/>
  <c r="AB606" i="4"/>
  <c r="AD607" i="4"/>
  <c r="Z607" i="4"/>
  <c r="AC607" i="4"/>
  <c r="AD609" i="4"/>
  <c r="W611" i="4"/>
  <c r="S611" i="4"/>
  <c r="U611" i="4"/>
  <c r="A611" i="4"/>
  <c r="AA611" i="4"/>
  <c r="Z611" i="4"/>
  <c r="AD611" i="4"/>
  <c r="W612" i="4"/>
  <c r="AD614" i="4"/>
  <c r="Z614" i="4"/>
  <c r="AA614" i="4"/>
  <c r="A615" i="4"/>
  <c r="AA615" i="4"/>
  <c r="AB615" i="4"/>
  <c r="AD615" i="4"/>
  <c r="T616" i="4"/>
  <c r="A616" i="4"/>
  <c r="W616" i="4"/>
  <c r="C616" i="4"/>
  <c r="U616" i="4"/>
  <c r="AC617" i="4"/>
  <c r="B617" i="4"/>
  <c r="AA617" i="4"/>
  <c r="C617" i="4"/>
  <c r="AD617" i="4"/>
  <c r="A623" i="4"/>
  <c r="U631" i="4"/>
  <c r="A631" i="4"/>
  <c r="T631" i="4"/>
  <c r="AB635" i="4"/>
  <c r="B635" i="4"/>
  <c r="Z635" i="4"/>
  <c r="AC636" i="4"/>
  <c r="AA636" i="4"/>
  <c r="C636" i="4"/>
  <c r="Z636" i="4"/>
  <c r="V642" i="4"/>
  <c r="C642" i="4"/>
  <c r="T642" i="4"/>
  <c r="S642" i="4"/>
  <c r="W642" i="4"/>
  <c r="V645" i="4"/>
  <c r="A645" i="4"/>
  <c r="T645" i="4"/>
  <c r="S645" i="4"/>
  <c r="AC649" i="4"/>
  <c r="B649" i="4"/>
  <c r="AA649" i="4"/>
  <c r="C649" i="4"/>
  <c r="Z649" i="4"/>
  <c r="AD649" i="4"/>
  <c r="U663" i="4"/>
  <c r="A663" i="4"/>
  <c r="T663" i="4"/>
  <c r="T672" i="4"/>
  <c r="A672" i="4"/>
  <c r="U672" i="4"/>
  <c r="S672" i="4"/>
  <c r="W672" i="4"/>
  <c r="C672" i="4"/>
  <c r="U676" i="4"/>
  <c r="S676" i="4"/>
  <c r="W683" i="4"/>
  <c r="S683" i="4"/>
  <c r="V683" i="4"/>
  <c r="C683" i="4"/>
  <c r="U683" i="4"/>
  <c r="T683" i="4"/>
  <c r="W692" i="4"/>
  <c r="S692" i="4"/>
  <c r="U692" i="4"/>
  <c r="T692" i="4"/>
  <c r="V692" i="4"/>
  <c r="C692" i="4"/>
  <c r="AD699" i="4"/>
  <c r="Z699" i="4"/>
  <c r="AB699" i="4"/>
  <c r="B699" i="4"/>
  <c r="AA699" i="4"/>
  <c r="AC699" i="4"/>
  <c r="W724" i="4"/>
  <c r="S724" i="4"/>
  <c r="U724" i="4"/>
  <c r="A724" i="4"/>
  <c r="T724" i="4"/>
  <c r="C724" i="4"/>
  <c r="V724" i="4"/>
  <c r="AB732" i="4"/>
  <c r="B732" i="4"/>
  <c r="Z732" i="4"/>
  <c r="AD732" i="4"/>
  <c r="U525" i="4"/>
  <c r="AB528" i="4"/>
  <c r="U529" i="4"/>
  <c r="V531" i="4"/>
  <c r="C531" i="4"/>
  <c r="U531" i="4"/>
  <c r="W532" i="4"/>
  <c r="S532" i="4"/>
  <c r="V532" i="4"/>
  <c r="W534" i="4"/>
  <c r="AC536" i="4"/>
  <c r="AC538" i="4"/>
  <c r="B538" i="4"/>
  <c r="AB538" i="4"/>
  <c r="AD539" i="4"/>
  <c r="Z539" i="4"/>
  <c r="AC539" i="4"/>
  <c r="AD541" i="4"/>
  <c r="T545" i="4"/>
  <c r="A545" i="4"/>
  <c r="V545" i="4"/>
  <c r="V547" i="4"/>
  <c r="C547" i="4"/>
  <c r="U547" i="4"/>
  <c r="W548" i="4"/>
  <c r="S548" i="4"/>
  <c r="V548" i="4"/>
  <c r="W550" i="4"/>
  <c r="AC552" i="4"/>
  <c r="AC554" i="4"/>
  <c r="AB554" i="4"/>
  <c r="AD555" i="4"/>
  <c r="Z555" i="4"/>
  <c r="AC555" i="4"/>
  <c r="AD557" i="4"/>
  <c r="T561" i="4"/>
  <c r="A561" i="4"/>
  <c r="V561" i="4"/>
  <c r="V563" i="4"/>
  <c r="C563" i="4"/>
  <c r="U563" i="4"/>
  <c r="W564" i="4"/>
  <c r="S564" i="4"/>
  <c r="V564" i="4"/>
  <c r="W566" i="4"/>
  <c r="AC568" i="4"/>
  <c r="AC570" i="4"/>
  <c r="B570" i="4"/>
  <c r="AB570" i="4"/>
  <c r="AD571" i="4"/>
  <c r="Z571" i="4"/>
  <c r="AC571" i="4"/>
  <c r="AD573" i="4"/>
  <c r="T577" i="4"/>
  <c r="A577" i="4"/>
  <c r="V577" i="4"/>
  <c r="V579" i="4"/>
  <c r="C579" i="4"/>
  <c r="U579" i="4"/>
  <c r="W580" i="4"/>
  <c r="S580" i="4"/>
  <c r="V580" i="4"/>
  <c r="W582" i="4"/>
  <c r="AC584" i="4"/>
  <c r="AC586" i="4"/>
  <c r="AB586" i="4"/>
  <c r="AD587" i="4"/>
  <c r="Z587" i="4"/>
  <c r="AC587" i="4"/>
  <c r="AD589" i="4"/>
  <c r="T593" i="4"/>
  <c r="A593" i="4"/>
  <c r="V593" i="4"/>
  <c r="V595" i="4"/>
  <c r="C595" i="4"/>
  <c r="U595" i="4"/>
  <c r="W596" i="4"/>
  <c r="S596" i="4"/>
  <c r="V596" i="4"/>
  <c r="W598" i="4"/>
  <c r="AC600" i="4"/>
  <c r="AC602" i="4"/>
  <c r="B602" i="4"/>
  <c r="AB602" i="4"/>
  <c r="AD603" i="4"/>
  <c r="Z603" i="4"/>
  <c r="AC603" i="4"/>
  <c r="AD605" i="4"/>
  <c r="T609" i="4"/>
  <c r="A609" i="4"/>
  <c r="V609" i="4"/>
  <c r="S621" i="4"/>
  <c r="V621" i="4"/>
  <c r="A621" i="4"/>
  <c r="T624" i="4"/>
  <c r="A624" i="4"/>
  <c r="U624" i="4"/>
  <c r="S624" i="4"/>
  <c r="W624" i="4"/>
  <c r="C624" i="4"/>
  <c r="U628" i="4"/>
  <c r="S628" i="4"/>
  <c r="AA631" i="4"/>
  <c r="AB631" i="4"/>
  <c r="B631" i="4"/>
  <c r="Z631" i="4"/>
  <c r="AD631" i="4"/>
  <c r="AD635" i="4"/>
  <c r="AD636" i="4"/>
  <c r="AB638" i="4"/>
  <c r="B638" i="4"/>
  <c r="AA638" i="4"/>
  <c r="W643" i="4"/>
  <c r="S643" i="4"/>
  <c r="U643" i="4"/>
  <c r="A643" i="4"/>
  <c r="T643" i="4"/>
  <c r="C643" i="4"/>
  <c r="U648" i="4"/>
  <c r="AD650" i="4"/>
  <c r="Z650" i="4"/>
  <c r="AB650" i="4"/>
  <c r="AA650" i="4"/>
  <c r="T656" i="4"/>
  <c r="A656" i="4"/>
  <c r="U656" i="4"/>
  <c r="S656" i="4"/>
  <c r="W656" i="4"/>
  <c r="C656" i="4"/>
  <c r="U660" i="4"/>
  <c r="S660" i="4"/>
  <c r="AA663" i="4"/>
  <c r="AB663" i="4"/>
  <c r="B663" i="4"/>
  <c r="Z663" i="4"/>
  <c r="AD663" i="4"/>
  <c r="AC668" i="4"/>
  <c r="AA668" i="4"/>
  <c r="C668" i="4"/>
  <c r="Z668" i="4"/>
  <c r="B668" i="4"/>
  <c r="V674" i="4"/>
  <c r="C674" i="4"/>
  <c r="T674" i="4"/>
  <c r="S674" i="4"/>
  <c r="W674" i="4"/>
  <c r="V677" i="4"/>
  <c r="T677" i="4"/>
  <c r="S677" i="4"/>
  <c r="AD690" i="4"/>
  <c r="Z690" i="4"/>
  <c r="AC690" i="4"/>
  <c r="AB690" i="4"/>
  <c r="AA690" i="4"/>
  <c r="AB719" i="4"/>
  <c r="AA719" i="4"/>
  <c r="T737" i="4"/>
  <c r="A737" i="4"/>
  <c r="U737" i="4"/>
  <c r="S737" i="4"/>
  <c r="W737" i="4"/>
  <c r="C737" i="4"/>
  <c r="V737" i="4"/>
  <c r="Z517" i="4"/>
  <c r="S518" i="4"/>
  <c r="Z521" i="4"/>
  <c r="S522" i="4"/>
  <c r="C525" i="4"/>
  <c r="Z525" i="4"/>
  <c r="S526" i="4"/>
  <c r="B528" i="4"/>
  <c r="C529" i="4"/>
  <c r="Z529" i="4"/>
  <c r="S530" i="4"/>
  <c r="W531" i="4"/>
  <c r="C532" i="4"/>
  <c r="AA532" i="4"/>
  <c r="AC532" i="4"/>
  <c r="S533" i="4"/>
  <c r="AB533" i="4"/>
  <c r="AC534" i="4"/>
  <c r="B534" i="4"/>
  <c r="AB534" i="4"/>
  <c r="S535" i="4"/>
  <c r="AD535" i="4"/>
  <c r="Z535" i="4"/>
  <c r="AC535" i="4"/>
  <c r="T536" i="4"/>
  <c r="AD536" i="4"/>
  <c r="AD538" i="4"/>
  <c r="Z540" i="4"/>
  <c r="T541" i="4"/>
  <c r="A541" i="4"/>
  <c r="V541" i="4"/>
  <c r="U542" i="4"/>
  <c r="Z542" i="4"/>
  <c r="V543" i="4"/>
  <c r="C543" i="4"/>
  <c r="U543" i="4"/>
  <c r="AA543" i="4"/>
  <c r="W544" i="4"/>
  <c r="S544" i="4"/>
  <c r="V544" i="4"/>
  <c r="C545" i="4"/>
  <c r="W545" i="4"/>
  <c r="W547" i="4"/>
  <c r="C548" i="4"/>
  <c r="AA548" i="4"/>
  <c r="AC548" i="4"/>
  <c r="S549" i="4"/>
  <c r="AB549" i="4"/>
  <c r="AC550" i="4"/>
  <c r="AB550" i="4"/>
  <c r="S551" i="4"/>
  <c r="AD551" i="4"/>
  <c r="Z551" i="4"/>
  <c r="AC551" i="4"/>
  <c r="T552" i="4"/>
  <c r="AD552" i="4"/>
  <c r="AD554" i="4"/>
  <c r="Z556" i="4"/>
  <c r="B557" i="4"/>
  <c r="T557" i="4"/>
  <c r="A557" i="4"/>
  <c r="V557" i="4"/>
  <c r="U558" i="4"/>
  <c r="Z558" i="4"/>
  <c r="V559" i="4"/>
  <c r="C559" i="4"/>
  <c r="U559" i="4"/>
  <c r="AA559" i="4"/>
  <c r="W560" i="4"/>
  <c r="S560" i="4"/>
  <c r="V560" i="4"/>
  <c r="C561" i="4"/>
  <c r="W561" i="4"/>
  <c r="W563" i="4"/>
  <c r="C564" i="4"/>
  <c r="AA564" i="4"/>
  <c r="AC564" i="4"/>
  <c r="S565" i="4"/>
  <c r="AB565" i="4"/>
  <c r="AC566" i="4"/>
  <c r="B566" i="4"/>
  <c r="AB566" i="4"/>
  <c r="S567" i="4"/>
  <c r="AD567" i="4"/>
  <c r="Z567" i="4"/>
  <c r="AC567" i="4"/>
  <c r="T568" i="4"/>
  <c r="AD568" i="4"/>
  <c r="AD570" i="4"/>
  <c r="Z572" i="4"/>
  <c r="T573" i="4"/>
  <c r="A573" i="4"/>
  <c r="V573" i="4"/>
  <c r="U574" i="4"/>
  <c r="Z574" i="4"/>
  <c r="V575" i="4"/>
  <c r="C575" i="4"/>
  <c r="U575" i="4"/>
  <c r="AA575" i="4"/>
  <c r="W576" i="4"/>
  <c r="S576" i="4"/>
  <c r="V576" i="4"/>
  <c r="C577" i="4"/>
  <c r="W577" i="4"/>
  <c r="W579" i="4"/>
  <c r="C580" i="4"/>
  <c r="AA580" i="4"/>
  <c r="AC580" i="4"/>
  <c r="S581" i="4"/>
  <c r="AB581" i="4"/>
  <c r="AC582" i="4"/>
  <c r="AB582" i="4"/>
  <c r="S583" i="4"/>
  <c r="AD583" i="4"/>
  <c r="Z583" i="4"/>
  <c r="AC583" i="4"/>
  <c r="T584" i="4"/>
  <c r="AD584" i="4"/>
  <c r="AD586" i="4"/>
  <c r="Z588" i="4"/>
  <c r="B589" i="4"/>
  <c r="T589" i="4"/>
  <c r="V589" i="4"/>
  <c r="U590" i="4"/>
  <c r="Z590" i="4"/>
  <c r="V591" i="4"/>
  <c r="C591" i="4"/>
  <c r="U591" i="4"/>
  <c r="AA591" i="4"/>
  <c r="W592" i="4"/>
  <c r="S592" i="4"/>
  <c r="V592" i="4"/>
  <c r="C593" i="4"/>
  <c r="W593" i="4"/>
  <c r="W595" i="4"/>
  <c r="C596" i="4"/>
  <c r="AA596" i="4"/>
  <c r="AC596" i="4"/>
  <c r="S597" i="4"/>
  <c r="AB597" i="4"/>
  <c r="AC598" i="4"/>
  <c r="AB598" i="4"/>
  <c r="S599" i="4"/>
  <c r="AD599" i="4"/>
  <c r="Z599" i="4"/>
  <c r="AC599" i="4"/>
  <c r="T600" i="4"/>
  <c r="AD600" i="4"/>
  <c r="AD602" i="4"/>
  <c r="Z604" i="4"/>
  <c r="T605" i="4"/>
  <c r="A605" i="4"/>
  <c r="V605" i="4"/>
  <c r="U606" i="4"/>
  <c r="Z606" i="4"/>
  <c r="V607" i="4"/>
  <c r="C607" i="4"/>
  <c r="U607" i="4"/>
  <c r="AA607" i="4"/>
  <c r="W608" i="4"/>
  <c r="S608" i="4"/>
  <c r="V608" i="4"/>
  <c r="C609" i="4"/>
  <c r="W609" i="4"/>
  <c r="T611" i="4"/>
  <c r="AB611" i="4"/>
  <c r="Z612" i="4"/>
  <c r="B612" i="4"/>
  <c r="V613" i="4"/>
  <c r="A613" i="4"/>
  <c r="AC613" i="4"/>
  <c r="B613" i="4"/>
  <c r="Z613" i="4"/>
  <c r="AD613" i="4"/>
  <c r="AB614" i="4"/>
  <c r="Z615" i="4"/>
  <c r="S616" i="4"/>
  <c r="Z617" i="4"/>
  <c r="W619" i="4"/>
  <c r="S619" i="4"/>
  <c r="C619" i="4"/>
  <c r="U619" i="4"/>
  <c r="A619" i="4"/>
  <c r="AC620" i="4"/>
  <c r="Z620" i="4"/>
  <c r="T621" i="4"/>
  <c r="V626" i="4"/>
  <c r="C626" i="4"/>
  <c r="T626" i="4"/>
  <c r="S626" i="4"/>
  <c r="W626" i="4"/>
  <c r="W628" i="4"/>
  <c r="V629" i="4"/>
  <c r="A629" i="4"/>
  <c r="T629" i="4"/>
  <c r="S629" i="4"/>
  <c r="AC633" i="4"/>
  <c r="AA633" i="4"/>
  <c r="C633" i="4"/>
  <c r="Z633" i="4"/>
  <c r="AD633" i="4"/>
  <c r="U642" i="4"/>
  <c r="U647" i="4"/>
  <c r="A647" i="4"/>
  <c r="T647" i="4"/>
  <c r="AB649" i="4"/>
  <c r="AB651" i="4"/>
  <c r="B651" i="4"/>
  <c r="Z651" i="4"/>
  <c r="AC652" i="4"/>
  <c r="AA652" i="4"/>
  <c r="C652" i="4"/>
  <c r="Z652" i="4"/>
  <c r="B652" i="4"/>
  <c r="V658" i="4"/>
  <c r="C658" i="4"/>
  <c r="T658" i="4"/>
  <c r="S658" i="4"/>
  <c r="W658" i="4"/>
  <c r="W660" i="4"/>
  <c r="V661" i="4"/>
  <c r="T661" i="4"/>
  <c r="S661" i="4"/>
  <c r="AC665" i="4"/>
  <c r="B665" i="4"/>
  <c r="AA665" i="4"/>
  <c r="C665" i="4"/>
  <c r="Z665" i="4"/>
  <c r="AD665" i="4"/>
  <c r="AD668" i="4"/>
  <c r="AB670" i="4"/>
  <c r="B670" i="4"/>
  <c r="AA670" i="4"/>
  <c r="AB671" i="4"/>
  <c r="V672" i="4"/>
  <c r="A674" i="4"/>
  <c r="W675" i="4"/>
  <c r="S675" i="4"/>
  <c r="U675" i="4"/>
  <c r="T675" i="4"/>
  <c r="C675" i="4"/>
  <c r="W677" i="4"/>
  <c r="AA683" i="4"/>
  <c r="AD683" i="4"/>
  <c r="Z683" i="4"/>
  <c r="AC683" i="4"/>
  <c r="AB683" i="4"/>
  <c r="B683" i="4"/>
  <c r="AA696" i="4"/>
  <c r="AB696" i="4"/>
  <c r="B696" i="4"/>
  <c r="Z696" i="4"/>
  <c r="AD696" i="4"/>
  <c r="AC696" i="4"/>
  <c r="C696" i="4"/>
  <c r="T705" i="4"/>
  <c r="A705" i="4"/>
  <c r="U705" i="4"/>
  <c r="S705" i="4"/>
  <c r="W705" i="4"/>
  <c r="C705" i="4"/>
  <c r="V705" i="4"/>
  <c r="V726" i="4"/>
  <c r="A726" i="4"/>
  <c r="T726" i="4"/>
  <c r="S726" i="4"/>
  <c r="W726" i="4"/>
  <c r="AD616" i="4"/>
  <c r="T620" i="4"/>
  <c r="A620" i="4"/>
  <c r="V620" i="4"/>
  <c r="U621" i="4"/>
  <c r="V622" i="4"/>
  <c r="C622" i="4"/>
  <c r="U622" i="4"/>
  <c r="B623" i="4"/>
  <c r="W623" i="4"/>
  <c r="S623" i="4"/>
  <c r="V623" i="4"/>
  <c r="AB623" i="4"/>
  <c r="C625" i="4"/>
  <c r="W625" i="4"/>
  <c r="B626" i="4"/>
  <c r="AA627" i="4"/>
  <c r="AC627" i="4"/>
  <c r="AB628" i="4"/>
  <c r="AC628" i="4"/>
  <c r="AC629" i="4"/>
  <c r="AB629" i="4"/>
  <c r="AD630" i="4"/>
  <c r="Z630" i="4"/>
  <c r="AC630" i="4"/>
  <c r="AD632" i="4"/>
  <c r="T636" i="4"/>
  <c r="A636" i="4"/>
  <c r="V636" i="4"/>
  <c r="A637" i="4"/>
  <c r="U637" i="4"/>
  <c r="V637" i="4"/>
  <c r="V638" i="4"/>
  <c r="C638" i="4"/>
  <c r="U638" i="4"/>
  <c r="B639" i="4"/>
  <c r="W639" i="4"/>
  <c r="S639" i="4"/>
  <c r="V639" i="4"/>
  <c r="AB639" i="4"/>
  <c r="C641" i="4"/>
  <c r="W641" i="4"/>
  <c r="B642" i="4"/>
  <c r="AA643" i="4"/>
  <c r="AC643" i="4"/>
  <c r="AB644" i="4"/>
  <c r="AC644" i="4"/>
  <c r="AC645" i="4"/>
  <c r="B645" i="4"/>
  <c r="AB645" i="4"/>
  <c r="AD646" i="4"/>
  <c r="Z646" i="4"/>
  <c r="AC646" i="4"/>
  <c r="AD648" i="4"/>
  <c r="T652" i="4"/>
  <c r="A652" i="4"/>
  <c r="V652" i="4"/>
  <c r="U653" i="4"/>
  <c r="V653" i="4"/>
  <c r="V654" i="4"/>
  <c r="C654" i="4"/>
  <c r="U654" i="4"/>
  <c r="W655" i="4"/>
  <c r="S655" i="4"/>
  <c r="V655" i="4"/>
  <c r="C657" i="4"/>
  <c r="W657" i="4"/>
  <c r="B658" i="4"/>
  <c r="AA659" i="4"/>
  <c r="AC659" i="4"/>
  <c r="AB660" i="4"/>
  <c r="AC660" i="4"/>
  <c r="AC661" i="4"/>
  <c r="AB661" i="4"/>
  <c r="AD662" i="4"/>
  <c r="Z662" i="4"/>
  <c r="AC662" i="4"/>
  <c r="AD664" i="4"/>
  <c r="T668" i="4"/>
  <c r="A668" i="4"/>
  <c r="V668" i="4"/>
  <c r="A669" i="4"/>
  <c r="U669" i="4"/>
  <c r="V669" i="4"/>
  <c r="V670" i="4"/>
  <c r="C670" i="4"/>
  <c r="U670" i="4"/>
  <c r="W671" i="4"/>
  <c r="S671" i="4"/>
  <c r="V671" i="4"/>
  <c r="C673" i="4"/>
  <c r="W673" i="4"/>
  <c r="B674" i="4"/>
  <c r="AA675" i="4"/>
  <c r="AC675" i="4"/>
  <c r="AB676" i="4"/>
  <c r="AC676" i="4"/>
  <c r="AC677" i="4"/>
  <c r="B677" i="4"/>
  <c r="AB677" i="4"/>
  <c r="AD678" i="4"/>
  <c r="Z678" i="4"/>
  <c r="AC678" i="4"/>
  <c r="T685" i="4"/>
  <c r="AC694" i="4"/>
  <c r="Z694" i="4"/>
  <c r="AD694" i="4"/>
  <c r="AB703" i="4"/>
  <c r="B703" i="4"/>
  <c r="AA703" i="4"/>
  <c r="W708" i="4"/>
  <c r="S708" i="4"/>
  <c r="U708" i="4"/>
  <c r="A708" i="4"/>
  <c r="T708" i="4"/>
  <c r="C708" i="4"/>
  <c r="V710" i="4"/>
  <c r="A710" i="4"/>
  <c r="T710" i="4"/>
  <c r="S710" i="4"/>
  <c r="AD731" i="4"/>
  <c r="Z731" i="4"/>
  <c r="AB731" i="4"/>
  <c r="B731" i="4"/>
  <c r="AA731" i="4"/>
  <c r="AB735" i="4"/>
  <c r="B735" i="4"/>
  <c r="AA735" i="4"/>
  <c r="W740" i="4"/>
  <c r="S740" i="4"/>
  <c r="U740" i="4"/>
  <c r="A740" i="4"/>
  <c r="T740" i="4"/>
  <c r="C740" i="4"/>
  <c r="T742" i="4"/>
  <c r="W742" i="4"/>
  <c r="A742" i="4"/>
  <c r="V742" i="4"/>
  <c r="S742" i="4"/>
  <c r="AD791" i="4"/>
  <c r="B791" i="4"/>
  <c r="AC791" i="4"/>
  <c r="Z791" i="4"/>
  <c r="C791" i="4"/>
  <c r="AC623" i="4"/>
  <c r="AC625" i="4"/>
  <c r="B625" i="4"/>
  <c r="AB625" i="4"/>
  <c r="AD626" i="4"/>
  <c r="Z626" i="4"/>
  <c r="AC626" i="4"/>
  <c r="AD628" i="4"/>
  <c r="T632" i="4"/>
  <c r="A632" i="4"/>
  <c r="V632" i="4"/>
  <c r="V634" i="4"/>
  <c r="C634" i="4"/>
  <c r="U634" i="4"/>
  <c r="W635" i="4"/>
  <c r="S635" i="4"/>
  <c r="V635" i="4"/>
  <c r="W637" i="4"/>
  <c r="AC639" i="4"/>
  <c r="AC641" i="4"/>
  <c r="B641" i="4"/>
  <c r="AB641" i="4"/>
  <c r="AD642" i="4"/>
  <c r="Z642" i="4"/>
  <c r="AC642" i="4"/>
  <c r="AD644" i="4"/>
  <c r="T648" i="4"/>
  <c r="V648" i="4"/>
  <c r="V650" i="4"/>
  <c r="C650" i="4"/>
  <c r="U650" i="4"/>
  <c r="W651" i="4"/>
  <c r="S651" i="4"/>
  <c r="V651" i="4"/>
  <c r="W653" i="4"/>
  <c r="AA655" i="4"/>
  <c r="AC655" i="4"/>
  <c r="AC657" i="4"/>
  <c r="AB657" i="4"/>
  <c r="AD658" i="4"/>
  <c r="Z658" i="4"/>
  <c r="AC658" i="4"/>
  <c r="AD660" i="4"/>
  <c r="T664" i="4"/>
  <c r="A664" i="4"/>
  <c r="V664" i="4"/>
  <c r="V666" i="4"/>
  <c r="C666" i="4"/>
  <c r="U666" i="4"/>
  <c r="W667" i="4"/>
  <c r="S667" i="4"/>
  <c r="V667" i="4"/>
  <c r="W669" i="4"/>
  <c r="AA671" i="4"/>
  <c r="AC671" i="4"/>
  <c r="AC673" i="4"/>
  <c r="B673" i="4"/>
  <c r="AB673" i="4"/>
  <c r="AD674" i="4"/>
  <c r="Z674" i="4"/>
  <c r="AC674" i="4"/>
  <c r="AD676" i="4"/>
  <c r="W679" i="4"/>
  <c r="S679" i="4"/>
  <c r="V679" i="4"/>
  <c r="C679" i="4"/>
  <c r="AA679" i="4"/>
  <c r="AD679" i="4"/>
  <c r="Z679" i="4"/>
  <c r="T680" i="4"/>
  <c r="W680" i="4"/>
  <c r="S680" i="4"/>
  <c r="AD686" i="4"/>
  <c r="Z686" i="4"/>
  <c r="AC686" i="4"/>
  <c r="B686" i="4"/>
  <c r="W687" i="4"/>
  <c r="S687" i="4"/>
  <c r="V687" i="4"/>
  <c r="C687" i="4"/>
  <c r="AA687" i="4"/>
  <c r="AD687" i="4"/>
  <c r="Z687" i="4"/>
  <c r="T688" i="4"/>
  <c r="A688" i="4"/>
  <c r="W688" i="4"/>
  <c r="S688" i="4"/>
  <c r="V694" i="4"/>
  <c r="A694" i="4"/>
  <c r="T694" i="4"/>
  <c r="AD695" i="4"/>
  <c r="Z695" i="4"/>
  <c r="AA695" i="4"/>
  <c r="U696" i="4"/>
  <c r="A696" i="4"/>
  <c r="AC698" i="4"/>
  <c r="B698" i="4"/>
  <c r="AA698" i="4"/>
  <c r="C698" i="4"/>
  <c r="Z698" i="4"/>
  <c r="AD698" i="4"/>
  <c r="U712" i="4"/>
  <c r="A712" i="4"/>
  <c r="T712" i="4"/>
  <c r="S715" i="4"/>
  <c r="AB716" i="4"/>
  <c r="B716" i="4"/>
  <c r="Z716" i="4"/>
  <c r="AC717" i="4"/>
  <c r="AA717" i="4"/>
  <c r="Z717" i="4"/>
  <c r="B717" i="4"/>
  <c r="V723" i="4"/>
  <c r="C723" i="4"/>
  <c r="T723" i="4"/>
  <c r="S723" i="4"/>
  <c r="W723" i="4"/>
  <c r="U725" i="4"/>
  <c r="S725" i="4"/>
  <c r="U728" i="4"/>
  <c r="T728" i="4"/>
  <c r="T612" i="4"/>
  <c r="A612" i="4"/>
  <c r="V612" i="4"/>
  <c r="U613" i="4"/>
  <c r="V614" i="4"/>
  <c r="C614" i="4"/>
  <c r="U614" i="4"/>
  <c r="W615" i="4"/>
  <c r="S615" i="4"/>
  <c r="V615" i="4"/>
  <c r="AA619" i="4"/>
  <c r="AC619" i="4"/>
  <c r="S620" i="4"/>
  <c r="AB620" i="4"/>
  <c r="AC621" i="4"/>
  <c r="B621" i="4"/>
  <c r="AB621" i="4"/>
  <c r="S622" i="4"/>
  <c r="AD622" i="4"/>
  <c r="Z622" i="4"/>
  <c r="AC622" i="4"/>
  <c r="T623" i="4"/>
  <c r="AD623" i="4"/>
  <c r="AD625" i="4"/>
  <c r="Z627" i="4"/>
  <c r="B628" i="4"/>
  <c r="T628" i="4"/>
  <c r="A628" i="4"/>
  <c r="V628" i="4"/>
  <c r="U629" i="4"/>
  <c r="Z629" i="4"/>
  <c r="V630" i="4"/>
  <c r="C630" i="4"/>
  <c r="U630" i="4"/>
  <c r="AA630" i="4"/>
  <c r="W631" i="4"/>
  <c r="S631" i="4"/>
  <c r="V631" i="4"/>
  <c r="C632" i="4"/>
  <c r="W632" i="4"/>
  <c r="W634" i="4"/>
  <c r="C635" i="4"/>
  <c r="AA635" i="4"/>
  <c r="AC635" i="4"/>
  <c r="S636" i="4"/>
  <c r="AB636" i="4"/>
  <c r="AC637" i="4"/>
  <c r="B637" i="4"/>
  <c r="AB637" i="4"/>
  <c r="S638" i="4"/>
  <c r="AD638" i="4"/>
  <c r="Z638" i="4"/>
  <c r="AC638" i="4"/>
  <c r="T639" i="4"/>
  <c r="AD639" i="4"/>
  <c r="AD641" i="4"/>
  <c r="Z643" i="4"/>
  <c r="T644" i="4"/>
  <c r="A644" i="4"/>
  <c r="V644" i="4"/>
  <c r="U645" i="4"/>
  <c r="Z645" i="4"/>
  <c r="V646" i="4"/>
  <c r="C646" i="4"/>
  <c r="U646" i="4"/>
  <c r="AA646" i="4"/>
  <c r="W647" i="4"/>
  <c r="S647" i="4"/>
  <c r="V647" i="4"/>
  <c r="C648" i="4"/>
  <c r="W648" i="4"/>
  <c r="W650" i="4"/>
  <c r="C651" i="4"/>
  <c r="AA651" i="4"/>
  <c r="AC651" i="4"/>
  <c r="S652" i="4"/>
  <c r="AB652" i="4"/>
  <c r="AC653" i="4"/>
  <c r="B653" i="4"/>
  <c r="AB653" i="4"/>
  <c r="S654" i="4"/>
  <c r="AD654" i="4"/>
  <c r="Z654" i="4"/>
  <c r="AC654" i="4"/>
  <c r="T655" i="4"/>
  <c r="AD655" i="4"/>
  <c r="AD657" i="4"/>
  <c r="Z659" i="4"/>
  <c r="B660" i="4"/>
  <c r="T660" i="4"/>
  <c r="A660" i="4"/>
  <c r="V660" i="4"/>
  <c r="U661" i="4"/>
  <c r="Z661" i="4"/>
  <c r="V662" i="4"/>
  <c r="C662" i="4"/>
  <c r="U662" i="4"/>
  <c r="AA662" i="4"/>
  <c r="W663" i="4"/>
  <c r="S663" i="4"/>
  <c r="V663" i="4"/>
  <c r="C664" i="4"/>
  <c r="W664" i="4"/>
  <c r="W666" i="4"/>
  <c r="AA667" i="4"/>
  <c r="AC667" i="4"/>
  <c r="S668" i="4"/>
  <c r="AB668" i="4"/>
  <c r="AC669" i="4"/>
  <c r="AB669" i="4"/>
  <c r="S670" i="4"/>
  <c r="AD670" i="4"/>
  <c r="Z670" i="4"/>
  <c r="AC670" i="4"/>
  <c r="T671" i="4"/>
  <c r="AD671" i="4"/>
  <c r="AD673" i="4"/>
  <c r="Z675" i="4"/>
  <c r="B676" i="4"/>
  <c r="T676" i="4"/>
  <c r="V676" i="4"/>
  <c r="U677" i="4"/>
  <c r="Z677" i="4"/>
  <c r="V678" i="4"/>
  <c r="C678" i="4"/>
  <c r="U678" i="4"/>
  <c r="AA678" i="4"/>
  <c r="B679" i="4"/>
  <c r="T681" i="4"/>
  <c r="A681" i="4"/>
  <c r="AC684" i="4"/>
  <c r="V685" i="4"/>
  <c r="B687" i="4"/>
  <c r="C688" i="4"/>
  <c r="T689" i="4"/>
  <c r="A689" i="4"/>
  <c r="AA692" i="4"/>
  <c r="Z692" i="4"/>
  <c r="AD692" i="4"/>
  <c r="S694" i="4"/>
  <c r="AA694" i="4"/>
  <c r="T696" i="4"/>
  <c r="AA697" i="4"/>
  <c r="Z697" i="4"/>
  <c r="AB700" i="4"/>
  <c r="B700" i="4"/>
  <c r="Z700" i="4"/>
  <c r="AC701" i="4"/>
  <c r="AA701" i="4"/>
  <c r="Z701" i="4"/>
  <c r="B701" i="4"/>
  <c r="V707" i="4"/>
  <c r="C707" i="4"/>
  <c r="T707" i="4"/>
  <c r="S707" i="4"/>
  <c r="W707" i="4"/>
  <c r="V708" i="4"/>
  <c r="U709" i="4"/>
  <c r="S709" i="4"/>
  <c r="AA712" i="4"/>
  <c r="AB712" i="4"/>
  <c r="B712" i="4"/>
  <c r="Z712" i="4"/>
  <c r="AD712" i="4"/>
  <c r="AC714" i="4"/>
  <c r="B714" i="4"/>
  <c r="AA714" i="4"/>
  <c r="C714" i="4"/>
  <c r="Z714" i="4"/>
  <c r="AD714" i="4"/>
  <c r="AD715" i="4"/>
  <c r="Z715" i="4"/>
  <c r="AB715" i="4"/>
  <c r="B715" i="4"/>
  <c r="AA715" i="4"/>
  <c r="AD716" i="4"/>
  <c r="AD717" i="4"/>
  <c r="T721" i="4"/>
  <c r="U721" i="4"/>
  <c r="S721" i="4"/>
  <c r="W721" i="4"/>
  <c r="C721" i="4"/>
  <c r="W725" i="4"/>
  <c r="AA728" i="4"/>
  <c r="AB728" i="4"/>
  <c r="Z728" i="4"/>
  <c r="AD728" i="4"/>
  <c r="AC730" i="4"/>
  <c r="B730" i="4"/>
  <c r="AA730" i="4"/>
  <c r="C730" i="4"/>
  <c r="Z730" i="4"/>
  <c r="AD730" i="4"/>
  <c r="AC731" i="4"/>
  <c r="V739" i="4"/>
  <c r="C739" i="4"/>
  <c r="T739" i="4"/>
  <c r="S739" i="4"/>
  <c r="W739" i="4"/>
  <c r="V740" i="4"/>
  <c r="U741" i="4"/>
  <c r="S741" i="4"/>
  <c r="T701" i="4"/>
  <c r="A701" i="4"/>
  <c r="V701" i="4"/>
  <c r="V703" i="4"/>
  <c r="C703" i="4"/>
  <c r="U703" i="4"/>
  <c r="W704" i="4"/>
  <c r="S704" i="4"/>
  <c r="V704" i="4"/>
  <c r="W706" i="4"/>
  <c r="AC708" i="4"/>
  <c r="AC710" i="4"/>
  <c r="AB710" i="4"/>
  <c r="AD711" i="4"/>
  <c r="Z711" i="4"/>
  <c r="AC711" i="4"/>
  <c r="AD713" i="4"/>
  <c r="T717" i="4"/>
  <c r="A717" i="4"/>
  <c r="V717" i="4"/>
  <c r="V719" i="4"/>
  <c r="C719" i="4"/>
  <c r="U719" i="4"/>
  <c r="W720" i="4"/>
  <c r="S720" i="4"/>
  <c r="V720" i="4"/>
  <c r="W722" i="4"/>
  <c r="AC724" i="4"/>
  <c r="AC726" i="4"/>
  <c r="B726" i="4"/>
  <c r="AB726" i="4"/>
  <c r="S727" i="4"/>
  <c r="AD727" i="4"/>
  <c r="Z727" i="4"/>
  <c r="AC727" i="4"/>
  <c r="AD729" i="4"/>
  <c r="T733" i="4"/>
  <c r="V733" i="4"/>
  <c r="V735" i="4"/>
  <c r="C735" i="4"/>
  <c r="U735" i="4"/>
  <c r="W736" i="4"/>
  <c r="S736" i="4"/>
  <c r="V736" i="4"/>
  <c r="W738" i="4"/>
  <c r="AC740" i="4"/>
  <c r="AD743" i="4"/>
  <c r="Z743" i="4"/>
  <c r="AC743" i="4"/>
  <c r="W744" i="4"/>
  <c r="S744" i="4"/>
  <c r="V744" i="4"/>
  <c r="C744" i="4"/>
  <c r="AA744" i="4"/>
  <c r="AD744" i="4"/>
  <c r="Z744" i="4"/>
  <c r="T745" i="4"/>
  <c r="A745" i="4"/>
  <c r="W745" i="4"/>
  <c r="S745" i="4"/>
  <c r="AA748" i="4"/>
  <c r="AD748" i="4"/>
  <c r="Z748" i="4"/>
  <c r="AC748" i="4"/>
  <c r="B748" i="4"/>
  <c r="T750" i="4"/>
  <c r="A750" i="4"/>
  <c r="W750" i="4"/>
  <c r="S750" i="4"/>
  <c r="T753" i="4"/>
  <c r="A753" i="4"/>
  <c r="W753" i="4"/>
  <c r="S753" i="4"/>
  <c r="V753" i="4"/>
  <c r="C753" i="4"/>
  <c r="AA753" i="4"/>
  <c r="AD753" i="4"/>
  <c r="Z753" i="4"/>
  <c r="T757" i="4"/>
  <c r="A757" i="4"/>
  <c r="W757" i="4"/>
  <c r="S757" i="4"/>
  <c r="V757" i="4"/>
  <c r="C757" i="4"/>
  <c r="AA757" i="4"/>
  <c r="AD757" i="4"/>
  <c r="Z757" i="4"/>
  <c r="T761" i="4"/>
  <c r="W761" i="4"/>
  <c r="S761" i="4"/>
  <c r="V761" i="4"/>
  <c r="C761" i="4"/>
  <c r="AA761" i="4"/>
  <c r="AD761" i="4"/>
  <c r="Z761" i="4"/>
  <c r="T765" i="4"/>
  <c r="A765" i="4"/>
  <c r="W765" i="4"/>
  <c r="S765" i="4"/>
  <c r="V765" i="4"/>
  <c r="C765" i="4"/>
  <c r="AA765" i="4"/>
  <c r="AD765" i="4"/>
  <c r="Z765" i="4"/>
  <c r="AA768" i="4"/>
  <c r="AD768" i="4"/>
  <c r="Z768" i="4"/>
  <c r="AC768" i="4"/>
  <c r="T770" i="4"/>
  <c r="A770" i="4"/>
  <c r="W770" i="4"/>
  <c r="S770" i="4"/>
  <c r="AA772" i="4"/>
  <c r="AD772" i="4"/>
  <c r="Z772" i="4"/>
  <c r="AC772" i="4"/>
  <c r="B772" i="4"/>
  <c r="T774" i="4"/>
  <c r="A774" i="4"/>
  <c r="W774" i="4"/>
  <c r="S774" i="4"/>
  <c r="AA776" i="4"/>
  <c r="AD776" i="4"/>
  <c r="Z776" i="4"/>
  <c r="AC776" i="4"/>
  <c r="B776" i="4"/>
  <c r="T778" i="4"/>
  <c r="A778" i="4"/>
  <c r="W778" i="4"/>
  <c r="S778" i="4"/>
  <c r="AA780" i="4"/>
  <c r="AD780" i="4"/>
  <c r="Z780" i="4"/>
  <c r="AC780" i="4"/>
  <c r="T782" i="4"/>
  <c r="A782" i="4"/>
  <c r="W782" i="4"/>
  <c r="S782" i="4"/>
  <c r="AA784" i="4"/>
  <c r="AD784" i="4"/>
  <c r="Z784" i="4"/>
  <c r="AC784" i="4"/>
  <c r="B784" i="4"/>
  <c r="T786" i="4"/>
  <c r="A786" i="4"/>
  <c r="W786" i="4"/>
  <c r="S786" i="4"/>
  <c r="AC790" i="4"/>
  <c r="AB790" i="4"/>
  <c r="T807" i="4"/>
  <c r="A807" i="4"/>
  <c r="W807" i="4"/>
  <c r="S807" i="4"/>
  <c r="V807" i="4"/>
  <c r="AB681" i="4"/>
  <c r="U682" i="4"/>
  <c r="AB685" i="4"/>
  <c r="U686" i="4"/>
  <c r="AB689" i="4"/>
  <c r="U690" i="4"/>
  <c r="AD691" i="4"/>
  <c r="Z691" i="4"/>
  <c r="AC691" i="4"/>
  <c r="AD693" i="4"/>
  <c r="T697" i="4"/>
  <c r="A697" i="4"/>
  <c r="V697" i="4"/>
  <c r="V699" i="4"/>
  <c r="C699" i="4"/>
  <c r="U699" i="4"/>
  <c r="W700" i="4"/>
  <c r="S700" i="4"/>
  <c r="V700" i="4"/>
  <c r="C701" i="4"/>
  <c r="W701" i="4"/>
  <c r="W702" i="4"/>
  <c r="W703" i="4"/>
  <c r="C704" i="4"/>
  <c r="AC704" i="4"/>
  <c r="S706" i="4"/>
  <c r="AC706" i="4"/>
  <c r="B706" i="4"/>
  <c r="AB706" i="4"/>
  <c r="AD707" i="4"/>
  <c r="Z707" i="4"/>
  <c r="AC707" i="4"/>
  <c r="AD708" i="4"/>
  <c r="AD709" i="4"/>
  <c r="AD710" i="4"/>
  <c r="T713" i="4"/>
  <c r="V713" i="4"/>
  <c r="Z713" i="4"/>
  <c r="V715" i="4"/>
  <c r="C715" i="4"/>
  <c r="U715" i="4"/>
  <c r="W716" i="4"/>
  <c r="S716" i="4"/>
  <c r="V716" i="4"/>
  <c r="C717" i="4"/>
  <c r="W717" i="4"/>
  <c r="W718" i="4"/>
  <c r="W719" i="4"/>
  <c r="C720" i="4"/>
  <c r="AC720" i="4"/>
  <c r="S722" i="4"/>
  <c r="AC722" i="4"/>
  <c r="B722" i="4"/>
  <c r="AB722" i="4"/>
  <c r="AD723" i="4"/>
  <c r="Z723" i="4"/>
  <c r="AC723" i="4"/>
  <c r="AD724" i="4"/>
  <c r="AD725" i="4"/>
  <c r="AD726" i="4"/>
  <c r="T729" i="4"/>
  <c r="A729" i="4"/>
  <c r="V729" i="4"/>
  <c r="Z729" i="4"/>
  <c r="V731" i="4"/>
  <c r="C731" i="4"/>
  <c r="U731" i="4"/>
  <c r="W732" i="4"/>
  <c r="S732" i="4"/>
  <c r="V732" i="4"/>
  <c r="C733" i="4"/>
  <c r="W733" i="4"/>
  <c r="W734" i="4"/>
  <c r="W735" i="4"/>
  <c r="C736" i="4"/>
  <c r="AC736" i="4"/>
  <c r="S738" i="4"/>
  <c r="AC738" i="4"/>
  <c r="B738" i="4"/>
  <c r="AB738" i="4"/>
  <c r="AD739" i="4"/>
  <c r="Z739" i="4"/>
  <c r="AC739" i="4"/>
  <c r="AD740" i="4"/>
  <c r="AD741" i="4"/>
  <c r="B744" i="4"/>
  <c r="C745" i="4"/>
  <c r="T746" i="4"/>
  <c r="V750" i="4"/>
  <c r="V751" i="4"/>
  <c r="B753" i="4"/>
  <c r="AC753" i="4"/>
  <c r="AC757" i="4"/>
  <c r="AC761" i="4"/>
  <c r="B765" i="4"/>
  <c r="AC765" i="4"/>
  <c r="S767" i="4"/>
  <c r="V770" i="4"/>
  <c r="V774" i="4"/>
  <c r="V778" i="4"/>
  <c r="V782" i="4"/>
  <c r="V786" i="4"/>
  <c r="V791" i="4"/>
  <c r="U791" i="4"/>
  <c r="AD801" i="4"/>
  <c r="Z801" i="4"/>
  <c r="C801" i="4"/>
  <c r="AC801" i="4"/>
  <c r="AB801" i="4"/>
  <c r="AA801" i="4"/>
  <c r="AA802" i="4"/>
  <c r="AD802" i="4"/>
  <c r="Z802" i="4"/>
  <c r="AC802" i="4"/>
  <c r="B802" i="4"/>
  <c r="U813" i="4"/>
  <c r="A813" i="4"/>
  <c r="T813" i="4"/>
  <c r="B681" i="4"/>
  <c r="C682" i="4"/>
  <c r="B685" i="4"/>
  <c r="C686" i="4"/>
  <c r="C690" i="4"/>
  <c r="B693" i="4"/>
  <c r="T693" i="4"/>
  <c r="A693" i="4"/>
  <c r="V693" i="4"/>
  <c r="U694" i="4"/>
  <c r="V695" i="4"/>
  <c r="C695" i="4"/>
  <c r="U695" i="4"/>
  <c r="W696" i="4"/>
  <c r="S696" i="4"/>
  <c r="V696" i="4"/>
  <c r="C697" i="4"/>
  <c r="W697" i="4"/>
  <c r="W699" i="4"/>
  <c r="C700" i="4"/>
  <c r="AA700" i="4"/>
  <c r="AC700" i="4"/>
  <c r="S701" i="4"/>
  <c r="AB701" i="4"/>
  <c r="AC702" i="4"/>
  <c r="AB702" i="4"/>
  <c r="S703" i="4"/>
  <c r="AD703" i="4"/>
  <c r="Z703" i="4"/>
  <c r="AC703" i="4"/>
  <c r="T704" i="4"/>
  <c r="AD704" i="4"/>
  <c r="AD706" i="4"/>
  <c r="Z708" i="4"/>
  <c r="B709" i="4"/>
  <c r="T709" i="4"/>
  <c r="A709" i="4"/>
  <c r="V709" i="4"/>
  <c r="U710" i="4"/>
  <c r="Z710" i="4"/>
  <c r="V711" i="4"/>
  <c r="C711" i="4"/>
  <c r="U711" i="4"/>
  <c r="AA711" i="4"/>
  <c r="W712" i="4"/>
  <c r="S712" i="4"/>
  <c r="V712" i="4"/>
  <c r="C713" i="4"/>
  <c r="W713" i="4"/>
  <c r="W715" i="4"/>
  <c r="C716" i="4"/>
  <c r="AA716" i="4"/>
  <c r="AC716" i="4"/>
  <c r="S717" i="4"/>
  <c r="AB717" i="4"/>
  <c r="AC718" i="4"/>
  <c r="B718" i="4"/>
  <c r="AB718" i="4"/>
  <c r="S719" i="4"/>
  <c r="AD719" i="4"/>
  <c r="Z719" i="4"/>
  <c r="AC719" i="4"/>
  <c r="T720" i="4"/>
  <c r="AD720" i="4"/>
  <c r="AD722" i="4"/>
  <c r="Z724" i="4"/>
  <c r="B725" i="4"/>
  <c r="T725" i="4"/>
  <c r="V725" i="4"/>
  <c r="U726" i="4"/>
  <c r="Z726" i="4"/>
  <c r="V727" i="4"/>
  <c r="C727" i="4"/>
  <c r="U727" i="4"/>
  <c r="AA727" i="4"/>
  <c r="W728" i="4"/>
  <c r="S728" i="4"/>
  <c r="V728" i="4"/>
  <c r="C729" i="4"/>
  <c r="W729" i="4"/>
  <c r="W731" i="4"/>
  <c r="C732" i="4"/>
  <c r="AA732" i="4"/>
  <c r="AC732" i="4"/>
  <c r="S733" i="4"/>
  <c r="AB733" i="4"/>
  <c r="AC734" i="4"/>
  <c r="B734" i="4"/>
  <c r="AB734" i="4"/>
  <c r="S735" i="4"/>
  <c r="AD735" i="4"/>
  <c r="Z735" i="4"/>
  <c r="AC735" i="4"/>
  <c r="T736" i="4"/>
  <c r="AD736" i="4"/>
  <c r="AD738" i="4"/>
  <c r="Z740" i="4"/>
  <c r="B741" i="4"/>
  <c r="T741" i="4"/>
  <c r="A741" i="4"/>
  <c r="V741" i="4"/>
  <c r="U742" i="4"/>
  <c r="AA743" i="4"/>
  <c r="T744" i="4"/>
  <c r="AB744" i="4"/>
  <c r="U745" i="4"/>
  <c r="Z745" i="4"/>
  <c r="S746" i="4"/>
  <c r="AD747" i="4"/>
  <c r="Z747" i="4"/>
  <c r="AC747" i="4"/>
  <c r="B747" i="4"/>
  <c r="AB748" i="4"/>
  <c r="T749" i="4"/>
  <c r="W749" i="4"/>
  <c r="S749" i="4"/>
  <c r="V749" i="4"/>
  <c r="C749" i="4"/>
  <c r="AA749" i="4"/>
  <c r="AD749" i="4"/>
  <c r="Z749" i="4"/>
  <c r="AA752" i="4"/>
  <c r="AD752" i="4"/>
  <c r="Z752" i="4"/>
  <c r="AC752" i="4"/>
  <c r="B752" i="4"/>
  <c r="U753" i="4"/>
  <c r="T754" i="4"/>
  <c r="A754" i="4"/>
  <c r="W754" i="4"/>
  <c r="S754" i="4"/>
  <c r="AA756" i="4"/>
  <c r="AD756" i="4"/>
  <c r="Z756" i="4"/>
  <c r="AC756" i="4"/>
  <c r="B756" i="4"/>
  <c r="U757" i="4"/>
  <c r="T758" i="4"/>
  <c r="A758" i="4"/>
  <c r="W758" i="4"/>
  <c r="S758" i="4"/>
  <c r="AA760" i="4"/>
  <c r="AD760" i="4"/>
  <c r="Z760" i="4"/>
  <c r="AC760" i="4"/>
  <c r="B760" i="4"/>
  <c r="U761" i="4"/>
  <c r="T762" i="4"/>
  <c r="A762" i="4"/>
  <c r="W762" i="4"/>
  <c r="S762" i="4"/>
  <c r="AA764" i="4"/>
  <c r="AD764" i="4"/>
  <c r="Z764" i="4"/>
  <c r="AC764" i="4"/>
  <c r="B764" i="4"/>
  <c r="U765" i="4"/>
  <c r="T766" i="4"/>
  <c r="A766" i="4"/>
  <c r="W766" i="4"/>
  <c r="S766" i="4"/>
  <c r="W767" i="4"/>
  <c r="AB768" i="4"/>
  <c r="T769" i="4"/>
  <c r="A769" i="4"/>
  <c r="W769" i="4"/>
  <c r="S769" i="4"/>
  <c r="V769" i="4"/>
  <c r="C769" i="4"/>
  <c r="AA769" i="4"/>
  <c r="AD769" i="4"/>
  <c r="Z769" i="4"/>
  <c r="AB772" i="4"/>
  <c r="T773" i="4"/>
  <c r="A773" i="4"/>
  <c r="W773" i="4"/>
  <c r="S773" i="4"/>
  <c r="V773" i="4"/>
  <c r="C773" i="4"/>
  <c r="AA773" i="4"/>
  <c r="AD773" i="4"/>
  <c r="Z773" i="4"/>
  <c r="AB776" i="4"/>
  <c r="T777" i="4"/>
  <c r="A777" i="4"/>
  <c r="W777" i="4"/>
  <c r="S777" i="4"/>
  <c r="V777" i="4"/>
  <c r="C777" i="4"/>
  <c r="AA777" i="4"/>
  <c r="AD777" i="4"/>
  <c r="Z777" i="4"/>
  <c r="AB780" i="4"/>
  <c r="T781" i="4"/>
  <c r="W781" i="4"/>
  <c r="S781" i="4"/>
  <c r="V781" i="4"/>
  <c r="C781" i="4"/>
  <c r="AA781" i="4"/>
  <c r="AD781" i="4"/>
  <c r="Z781" i="4"/>
  <c r="AB784" i="4"/>
  <c r="T785" i="4"/>
  <c r="W785" i="4"/>
  <c r="S785" i="4"/>
  <c r="V785" i="4"/>
  <c r="C785" i="4"/>
  <c r="AA785" i="4"/>
  <c r="AD785" i="4"/>
  <c r="Z785" i="4"/>
  <c r="AB787" i="4"/>
  <c r="Z787" i="4"/>
  <c r="AA793" i="4"/>
  <c r="T802" i="4"/>
  <c r="W802" i="4"/>
  <c r="S802" i="4"/>
  <c r="V802" i="4"/>
  <c r="C802" i="4"/>
  <c r="U802" i="4"/>
  <c r="U748" i="4"/>
  <c r="AB751" i="4"/>
  <c r="U752" i="4"/>
  <c r="AB755" i="4"/>
  <c r="U756" i="4"/>
  <c r="AB759" i="4"/>
  <c r="U760" i="4"/>
  <c r="AB763" i="4"/>
  <c r="U764" i="4"/>
  <c r="AB767" i="4"/>
  <c r="U768" i="4"/>
  <c r="AB771" i="4"/>
  <c r="U772" i="4"/>
  <c r="AB775" i="4"/>
  <c r="U776" i="4"/>
  <c r="AB779" i="4"/>
  <c r="U780" i="4"/>
  <c r="AB783" i="4"/>
  <c r="U784" i="4"/>
  <c r="U788" i="4"/>
  <c r="T788" i="4"/>
  <c r="A788" i="4"/>
  <c r="W788" i="4"/>
  <c r="AD797" i="4"/>
  <c r="Z797" i="4"/>
  <c r="C797" i="4"/>
  <c r="AC797" i="4"/>
  <c r="B797" i="4"/>
  <c r="W798" i="4"/>
  <c r="S798" i="4"/>
  <c r="V798" i="4"/>
  <c r="C798" i="4"/>
  <c r="AA798" i="4"/>
  <c r="AD798" i="4"/>
  <c r="Z798" i="4"/>
  <c r="T799" i="4"/>
  <c r="A799" i="4"/>
  <c r="W799" i="4"/>
  <c r="S799" i="4"/>
  <c r="U810" i="4"/>
  <c r="S810" i="4"/>
  <c r="AA813" i="4"/>
  <c r="AB813" i="4"/>
  <c r="B813" i="4"/>
  <c r="Z813" i="4"/>
  <c r="AD813" i="4"/>
  <c r="AA821" i="4"/>
  <c r="Z821" i="4"/>
  <c r="AC821" i="4"/>
  <c r="AB821" i="4"/>
  <c r="T826" i="4"/>
  <c r="A826" i="4"/>
  <c r="S826" i="4"/>
  <c r="W826" i="4"/>
  <c r="C826" i="4"/>
  <c r="V826" i="4"/>
  <c r="U826" i="4"/>
  <c r="AB742" i="4"/>
  <c r="U743" i="4"/>
  <c r="AB746" i="4"/>
  <c r="U747" i="4"/>
  <c r="C748" i="4"/>
  <c r="V748" i="4"/>
  <c r="AB750" i="4"/>
  <c r="U751" i="4"/>
  <c r="AC751" i="4"/>
  <c r="C752" i="4"/>
  <c r="V752" i="4"/>
  <c r="AB754" i="4"/>
  <c r="B755" i="4"/>
  <c r="U755" i="4"/>
  <c r="AC755" i="4"/>
  <c r="C756" i="4"/>
  <c r="V756" i="4"/>
  <c r="AB758" i="4"/>
  <c r="B759" i="4"/>
  <c r="U759" i="4"/>
  <c r="AC759" i="4"/>
  <c r="C760" i="4"/>
  <c r="V760" i="4"/>
  <c r="AB762" i="4"/>
  <c r="B763" i="4"/>
  <c r="U763" i="4"/>
  <c r="AC763" i="4"/>
  <c r="C764" i="4"/>
  <c r="V764" i="4"/>
  <c r="AB766" i="4"/>
  <c r="B767" i="4"/>
  <c r="U767" i="4"/>
  <c r="AC767" i="4"/>
  <c r="C768" i="4"/>
  <c r="V768" i="4"/>
  <c r="AB770" i="4"/>
  <c r="B771" i="4"/>
  <c r="U771" i="4"/>
  <c r="AC771" i="4"/>
  <c r="C772" i="4"/>
  <c r="V772" i="4"/>
  <c r="AB774" i="4"/>
  <c r="B775" i="4"/>
  <c r="U775" i="4"/>
  <c r="AC775" i="4"/>
  <c r="C776" i="4"/>
  <c r="V776" i="4"/>
  <c r="AB778" i="4"/>
  <c r="B779" i="4"/>
  <c r="U779" i="4"/>
  <c r="AC779" i="4"/>
  <c r="C780" i="4"/>
  <c r="V780" i="4"/>
  <c r="AB782" i="4"/>
  <c r="B783" i="4"/>
  <c r="U783" i="4"/>
  <c r="AC783" i="4"/>
  <c r="C784" i="4"/>
  <c r="V784" i="4"/>
  <c r="AB786" i="4"/>
  <c r="W787" i="4"/>
  <c r="S787" i="4"/>
  <c r="V787" i="4"/>
  <c r="C788" i="4"/>
  <c r="S792" i="4"/>
  <c r="AD793" i="4"/>
  <c r="Z793" i="4"/>
  <c r="C793" i="4"/>
  <c r="AC793" i="4"/>
  <c r="W794" i="4"/>
  <c r="S794" i="4"/>
  <c r="V794" i="4"/>
  <c r="C794" i="4"/>
  <c r="AA794" i="4"/>
  <c r="AD794" i="4"/>
  <c r="Z794" i="4"/>
  <c r="T795" i="4"/>
  <c r="W795" i="4"/>
  <c r="S795" i="4"/>
  <c r="B798" i="4"/>
  <c r="C799" i="4"/>
  <c r="T803" i="4"/>
  <c r="A803" i="4"/>
  <c r="W803" i="4"/>
  <c r="S803" i="4"/>
  <c r="T806" i="4"/>
  <c r="W806" i="4"/>
  <c r="S806" i="4"/>
  <c r="V806" i="4"/>
  <c r="C806" i="4"/>
  <c r="AA806" i="4"/>
  <c r="AD806" i="4"/>
  <c r="Z806" i="4"/>
  <c r="W810" i="4"/>
  <c r="V811" i="4"/>
  <c r="A811" i="4"/>
  <c r="T811" i="4"/>
  <c r="S811" i="4"/>
  <c r="T842" i="4"/>
  <c r="A842" i="4"/>
  <c r="U842" i="4"/>
  <c r="S842" i="4"/>
  <c r="W842" i="4"/>
  <c r="C842" i="4"/>
  <c r="V842" i="4"/>
  <c r="B742" i="4"/>
  <c r="C743" i="4"/>
  <c r="B746" i="4"/>
  <c r="C747" i="4"/>
  <c r="S748" i="4"/>
  <c r="B750" i="4"/>
  <c r="Z751" i="4"/>
  <c r="S752" i="4"/>
  <c r="B754" i="4"/>
  <c r="C755" i="4"/>
  <c r="Z755" i="4"/>
  <c r="S756" i="4"/>
  <c r="B758" i="4"/>
  <c r="C759" i="4"/>
  <c r="Z759" i="4"/>
  <c r="S760" i="4"/>
  <c r="B762" i="4"/>
  <c r="C763" i="4"/>
  <c r="Z763" i="4"/>
  <c r="S764" i="4"/>
  <c r="C767" i="4"/>
  <c r="Z767" i="4"/>
  <c r="S768" i="4"/>
  <c r="B770" i="4"/>
  <c r="C771" i="4"/>
  <c r="Z771" i="4"/>
  <c r="S772" i="4"/>
  <c r="C775" i="4"/>
  <c r="Z775" i="4"/>
  <c r="S776" i="4"/>
  <c r="B778" i="4"/>
  <c r="C779" i="4"/>
  <c r="Z779" i="4"/>
  <c r="S780" i="4"/>
  <c r="B782" i="4"/>
  <c r="C783" i="4"/>
  <c r="Z783" i="4"/>
  <c r="S784" i="4"/>
  <c r="AA787" i="4"/>
  <c r="AC787" i="4"/>
  <c r="S788" i="4"/>
  <c r="AD789" i="4"/>
  <c r="Z789" i="4"/>
  <c r="C789" i="4"/>
  <c r="AC789" i="4"/>
  <c r="B789" i="4"/>
  <c r="W790" i="4"/>
  <c r="S790" i="4"/>
  <c r="V790" i="4"/>
  <c r="C790" i="4"/>
  <c r="AA790" i="4"/>
  <c r="AD790" i="4"/>
  <c r="Z790" i="4"/>
  <c r="T791" i="4"/>
  <c r="A791" i="4"/>
  <c r="W791" i="4"/>
  <c r="S791" i="4"/>
  <c r="AB791" i="4"/>
  <c r="B794" i="4"/>
  <c r="U796" i="4"/>
  <c r="AA797" i="4"/>
  <c r="T798" i="4"/>
  <c r="AB798" i="4"/>
  <c r="U799" i="4"/>
  <c r="AB802" i="4"/>
  <c r="V803" i="4"/>
  <c r="B806" i="4"/>
  <c r="AC806" i="4"/>
  <c r="U807" i="4"/>
  <c r="W809" i="4"/>
  <c r="S809" i="4"/>
  <c r="U809" i="4"/>
  <c r="A809" i="4"/>
  <c r="T809" i="4"/>
  <c r="C809" i="4"/>
  <c r="W811" i="4"/>
  <c r="AC813" i="4"/>
  <c r="W821" i="4"/>
  <c r="S821" i="4"/>
  <c r="U821" i="4"/>
  <c r="V821" i="4"/>
  <c r="T821" i="4"/>
  <c r="C821" i="4"/>
  <c r="AD821" i="4"/>
  <c r="AD824" i="4"/>
  <c r="Z824" i="4"/>
  <c r="AA824" i="4"/>
  <c r="AC824" i="4"/>
  <c r="AB824" i="4"/>
  <c r="AA825" i="4"/>
  <c r="AB825" i="4"/>
  <c r="AC825" i="4"/>
  <c r="Z825" i="4"/>
  <c r="C825" i="4"/>
  <c r="AA791" i="4"/>
  <c r="A792" i="4"/>
  <c r="T792" i="4"/>
  <c r="AA795" i="4"/>
  <c r="A796" i="4"/>
  <c r="T796" i="4"/>
  <c r="AA799" i="4"/>
  <c r="A800" i="4"/>
  <c r="T800" i="4"/>
  <c r="AA803" i="4"/>
  <c r="T804" i="4"/>
  <c r="AB804" i="4"/>
  <c r="U805" i="4"/>
  <c r="AA807" i="4"/>
  <c r="A808" i="4"/>
  <c r="T808" i="4"/>
  <c r="AD808" i="4"/>
  <c r="AB808" i="4"/>
  <c r="AA809" i="4"/>
  <c r="AC809" i="4"/>
  <c r="AB810" i="4"/>
  <c r="AC810" i="4"/>
  <c r="AC811" i="4"/>
  <c r="B811" i="4"/>
  <c r="AB811" i="4"/>
  <c r="AD812" i="4"/>
  <c r="Z812" i="4"/>
  <c r="AC812" i="4"/>
  <c r="U815" i="4"/>
  <c r="W815" i="4"/>
  <c r="W817" i="4"/>
  <c r="S817" i="4"/>
  <c r="T817" i="4"/>
  <c r="AA817" i="4"/>
  <c r="AD817" i="4"/>
  <c r="AC817" i="4"/>
  <c r="AC819" i="4"/>
  <c r="B819" i="4"/>
  <c r="AD819" i="4"/>
  <c r="AB819" i="4"/>
  <c r="C822" i="4"/>
  <c r="AB822" i="4"/>
  <c r="AC826" i="4"/>
  <c r="AA826" i="4"/>
  <c r="W829" i="4"/>
  <c r="S829" i="4"/>
  <c r="U829" i="4"/>
  <c r="A829" i="4"/>
  <c r="T829" i="4"/>
  <c r="C829" i="4"/>
  <c r="AB840" i="4"/>
  <c r="AC845" i="4"/>
  <c r="AA846" i="4"/>
  <c r="AD846" i="4"/>
  <c r="B846" i="4"/>
  <c r="AC846" i="4"/>
  <c r="Z846" i="4"/>
  <c r="AC851" i="4"/>
  <c r="AA851" i="4"/>
  <c r="C851" i="4"/>
  <c r="Z851" i="4"/>
  <c r="AD851" i="4"/>
  <c r="AB851" i="4"/>
  <c r="AB803" i="4"/>
  <c r="U804" i="4"/>
  <c r="AB807" i="4"/>
  <c r="U808" i="4"/>
  <c r="AD810" i="4"/>
  <c r="T814" i="4"/>
  <c r="V814" i="4"/>
  <c r="T818" i="4"/>
  <c r="A818" i="4"/>
  <c r="U818" i="4"/>
  <c r="W818" i="4"/>
  <c r="V820" i="4"/>
  <c r="C820" i="4"/>
  <c r="T820" i="4"/>
  <c r="W820" i="4"/>
  <c r="Z822" i="4"/>
  <c r="B822" i="4"/>
  <c r="V823" i="4"/>
  <c r="A823" i="4"/>
  <c r="AC823" i="4"/>
  <c r="Z823" i="4"/>
  <c r="AD823" i="4"/>
  <c r="AA833" i="4"/>
  <c r="AB833" i="4"/>
  <c r="B833" i="4"/>
  <c r="Z833" i="4"/>
  <c r="AD833" i="4"/>
  <c r="AC835" i="4"/>
  <c r="B835" i="4"/>
  <c r="AA835" i="4"/>
  <c r="C835" i="4"/>
  <c r="Z835" i="4"/>
  <c r="AD835" i="4"/>
  <c r="AC838" i="4"/>
  <c r="AA838" i="4"/>
  <c r="C838" i="4"/>
  <c r="Z838" i="4"/>
  <c r="B838" i="4"/>
  <c r="T847" i="4"/>
  <c r="A847" i="4"/>
  <c r="W847" i="4"/>
  <c r="V847" i="4"/>
  <c r="S847" i="4"/>
  <c r="AA849" i="4"/>
  <c r="AD849" i="4"/>
  <c r="Z849" i="4"/>
  <c r="AC849" i="4"/>
  <c r="AB849" i="4"/>
  <c r="B849" i="4"/>
  <c r="B803" i="4"/>
  <c r="C804" i="4"/>
  <c r="Z804" i="4"/>
  <c r="S805" i="4"/>
  <c r="B807" i="4"/>
  <c r="C808" i="4"/>
  <c r="Z808" i="4"/>
  <c r="Z809" i="4"/>
  <c r="B810" i="4"/>
  <c r="T810" i="4"/>
  <c r="V810" i="4"/>
  <c r="U811" i="4"/>
  <c r="Z811" i="4"/>
  <c r="V812" i="4"/>
  <c r="C812" i="4"/>
  <c r="U812" i="4"/>
  <c r="AA812" i="4"/>
  <c r="W813" i="4"/>
  <c r="S813" i="4"/>
  <c r="V813" i="4"/>
  <c r="C814" i="4"/>
  <c r="W814" i="4"/>
  <c r="AA814" i="4"/>
  <c r="T815" i="4"/>
  <c r="V816" i="4"/>
  <c r="C816" i="4"/>
  <c r="S816" i="4"/>
  <c r="W816" i="4"/>
  <c r="U817" i="4"/>
  <c r="Z817" i="4"/>
  <c r="C818" i="4"/>
  <c r="V819" i="4"/>
  <c r="Z819" i="4"/>
  <c r="AD820" i="4"/>
  <c r="Z820" i="4"/>
  <c r="AC820" i="4"/>
  <c r="AA822" i="4"/>
  <c r="S823" i="4"/>
  <c r="AD826" i="4"/>
  <c r="V828" i="4"/>
  <c r="C828" i="4"/>
  <c r="S828" i="4"/>
  <c r="W828" i="4"/>
  <c r="V829" i="4"/>
  <c r="V831" i="4"/>
  <c r="A831" i="4"/>
  <c r="T831" i="4"/>
  <c r="S831" i="4"/>
  <c r="AD838" i="4"/>
  <c r="C846" i="4"/>
  <c r="AC815" i="4"/>
  <c r="B815" i="4"/>
  <c r="AB815" i="4"/>
  <c r="AD816" i="4"/>
  <c r="Z816" i="4"/>
  <c r="AC816" i="4"/>
  <c r="T822" i="4"/>
  <c r="A822" i="4"/>
  <c r="V822" i="4"/>
  <c r="U823" i="4"/>
  <c r="V824" i="4"/>
  <c r="C824" i="4"/>
  <c r="U824" i="4"/>
  <c r="W825" i="4"/>
  <c r="S825" i="4"/>
  <c r="V825" i="4"/>
  <c r="C827" i="4"/>
  <c r="AA829" i="4"/>
  <c r="AC829" i="4"/>
  <c r="S830" i="4"/>
  <c r="AB830" i="4"/>
  <c r="AC830" i="4"/>
  <c r="AC831" i="4"/>
  <c r="B831" i="4"/>
  <c r="AB831" i="4"/>
  <c r="S832" i="4"/>
  <c r="AD832" i="4"/>
  <c r="Z832" i="4"/>
  <c r="AC832" i="4"/>
  <c r="T833" i="4"/>
  <c r="T835" i="4"/>
  <c r="A837" i="4"/>
  <c r="Z837" i="4"/>
  <c r="T838" i="4"/>
  <c r="A838" i="4"/>
  <c r="V838" i="4"/>
  <c r="A839" i="4"/>
  <c r="U839" i="4"/>
  <c r="V839" i="4"/>
  <c r="Z839" i="4"/>
  <c r="V840" i="4"/>
  <c r="C840" i="4"/>
  <c r="U840" i="4"/>
  <c r="AA840" i="4"/>
  <c r="B841" i="4"/>
  <c r="W841" i="4"/>
  <c r="S841" i="4"/>
  <c r="V841" i="4"/>
  <c r="AA842" i="4"/>
  <c r="C843" i="4"/>
  <c r="AA844" i="4"/>
  <c r="T845" i="4"/>
  <c r="AB845" i="4"/>
  <c r="U846" i="4"/>
  <c r="AD848" i="4"/>
  <c r="Z848" i="4"/>
  <c r="AC848" i="4"/>
  <c r="B848" i="4"/>
  <c r="AB850" i="4"/>
  <c r="AB853" i="4"/>
  <c r="Z853" i="4"/>
  <c r="AC854" i="4"/>
  <c r="AA854" i="4"/>
  <c r="Z854" i="4"/>
  <c r="B854" i="4"/>
  <c r="AB826" i="4"/>
  <c r="AC827" i="4"/>
  <c r="B827" i="4"/>
  <c r="AB827" i="4"/>
  <c r="AD828" i="4"/>
  <c r="Z828" i="4"/>
  <c r="AC828" i="4"/>
  <c r="A833" i="4"/>
  <c r="T834" i="4"/>
  <c r="A834" i="4"/>
  <c r="V834" i="4"/>
  <c r="A835" i="4"/>
  <c r="U835" i="4"/>
  <c r="V835" i="4"/>
  <c r="V836" i="4"/>
  <c r="C836" i="4"/>
  <c r="U836" i="4"/>
  <c r="B837" i="4"/>
  <c r="W837" i="4"/>
  <c r="S837" i="4"/>
  <c r="V837" i="4"/>
  <c r="C839" i="4"/>
  <c r="B840" i="4"/>
  <c r="C841" i="4"/>
  <c r="AA841" i="4"/>
  <c r="AC841" i="4"/>
  <c r="AB842" i="4"/>
  <c r="AC842" i="4"/>
  <c r="AC843" i="4"/>
  <c r="B843" i="4"/>
  <c r="AB843" i="4"/>
  <c r="AD843" i="4"/>
  <c r="T850" i="4"/>
  <c r="A850" i="4"/>
  <c r="W850" i="4"/>
  <c r="S850" i="4"/>
  <c r="V850" i="4"/>
  <c r="C850" i="4"/>
  <c r="AA850" i="4"/>
  <c r="AD850" i="4"/>
  <c r="Z850" i="4"/>
  <c r="AD852" i="4"/>
  <c r="Z852" i="4"/>
  <c r="AB852" i="4"/>
  <c r="B852" i="4"/>
  <c r="AA852" i="4"/>
  <c r="T858" i="4"/>
  <c r="U858" i="4"/>
  <c r="S858" i="4"/>
  <c r="W858" i="4"/>
  <c r="C858" i="4"/>
  <c r="T830" i="4"/>
  <c r="A830" i="4"/>
  <c r="V830" i="4"/>
  <c r="U831" i="4"/>
  <c r="V832" i="4"/>
  <c r="C832" i="4"/>
  <c r="U832" i="4"/>
  <c r="W833" i="4"/>
  <c r="S833" i="4"/>
  <c r="V833" i="4"/>
  <c r="AA837" i="4"/>
  <c r="AC837" i="4"/>
  <c r="AB838" i="4"/>
  <c r="AC839" i="4"/>
  <c r="AB839" i="4"/>
  <c r="AD840" i="4"/>
  <c r="Z840" i="4"/>
  <c r="AC840" i="4"/>
  <c r="AD844" i="4"/>
  <c r="Z844" i="4"/>
  <c r="AC844" i="4"/>
  <c r="B844" i="4"/>
  <c r="W845" i="4"/>
  <c r="S845" i="4"/>
  <c r="V845" i="4"/>
  <c r="C845" i="4"/>
  <c r="AA845" i="4"/>
  <c r="AD845" i="4"/>
  <c r="Z845" i="4"/>
  <c r="T846" i="4"/>
  <c r="W846" i="4"/>
  <c r="S846" i="4"/>
  <c r="AB846" i="4"/>
  <c r="U847" i="4"/>
  <c r="AB856" i="4"/>
  <c r="B856" i="4"/>
  <c r="AA856" i="4"/>
  <c r="AD869" i="4"/>
  <c r="Z869" i="4"/>
  <c r="AC869" i="4"/>
  <c r="B869" i="4"/>
  <c r="A874" i="4"/>
  <c r="W874" i="4"/>
  <c r="S874" i="4"/>
  <c r="V874" i="4"/>
  <c r="U849" i="4"/>
  <c r="T854" i="4"/>
  <c r="A854" i="4"/>
  <c r="V854" i="4"/>
  <c r="V856" i="4"/>
  <c r="C856" i="4"/>
  <c r="U856" i="4"/>
  <c r="W857" i="4"/>
  <c r="S857" i="4"/>
  <c r="V857" i="4"/>
  <c r="AC859" i="4"/>
  <c r="AD859" i="4"/>
  <c r="Z859" i="4"/>
  <c r="V860" i="4"/>
  <c r="C860" i="4"/>
  <c r="W860" i="4"/>
  <c r="S860" i="4"/>
  <c r="AD860" i="4"/>
  <c r="Z860" i="4"/>
  <c r="AA860" i="4"/>
  <c r="W861" i="4"/>
  <c r="S861" i="4"/>
  <c r="T861" i="4"/>
  <c r="A861" i="4"/>
  <c r="AD864" i="4"/>
  <c r="Z864" i="4"/>
  <c r="AC864" i="4"/>
  <c r="AA864" i="4"/>
  <c r="W873" i="4"/>
  <c r="S873" i="4"/>
  <c r="V873" i="4"/>
  <c r="C873" i="4"/>
  <c r="T873" i="4"/>
  <c r="A873" i="4"/>
  <c r="AA873" i="4"/>
  <c r="AD873" i="4"/>
  <c r="Z873" i="4"/>
  <c r="AD876" i="4"/>
  <c r="Z876" i="4"/>
  <c r="AC876" i="4"/>
  <c r="B876" i="4"/>
  <c r="AA876" i="4"/>
  <c r="U844" i="4"/>
  <c r="AB847" i="4"/>
  <c r="U848" i="4"/>
  <c r="C849" i="4"/>
  <c r="V849" i="4"/>
  <c r="V852" i="4"/>
  <c r="C852" i="4"/>
  <c r="U852" i="4"/>
  <c r="W853" i="4"/>
  <c r="S853" i="4"/>
  <c r="V853" i="4"/>
  <c r="C854" i="4"/>
  <c r="W854" i="4"/>
  <c r="W855" i="4"/>
  <c r="W856" i="4"/>
  <c r="C857" i="4"/>
  <c r="AC857" i="4"/>
  <c r="B860" i="4"/>
  <c r="C861" i="4"/>
  <c r="W866" i="4"/>
  <c r="S866" i="4"/>
  <c r="AD868" i="4"/>
  <c r="Z868" i="4"/>
  <c r="AC868" i="4"/>
  <c r="B868" i="4"/>
  <c r="AA868" i="4"/>
  <c r="B873" i="4"/>
  <c r="AC873" i="4"/>
  <c r="C844" i="4"/>
  <c r="B847" i="4"/>
  <c r="C848" i="4"/>
  <c r="S849" i="4"/>
  <c r="W852" i="4"/>
  <c r="C853" i="4"/>
  <c r="AA853" i="4"/>
  <c r="AC853" i="4"/>
  <c r="S854" i="4"/>
  <c r="AB854" i="4"/>
  <c r="AC855" i="4"/>
  <c r="B855" i="4"/>
  <c r="AB855" i="4"/>
  <c r="S856" i="4"/>
  <c r="AD856" i="4"/>
  <c r="Z856" i="4"/>
  <c r="AC856" i="4"/>
  <c r="T857" i="4"/>
  <c r="AD857" i="4"/>
  <c r="AA859" i="4"/>
  <c r="T860" i="4"/>
  <c r="AB860" i="4"/>
  <c r="U861" i="4"/>
  <c r="AB864" i="4"/>
  <c r="W865" i="4"/>
  <c r="S865" i="4"/>
  <c r="V865" i="4"/>
  <c r="C865" i="4"/>
  <c r="T865" i="4"/>
  <c r="A865" i="4"/>
  <c r="AD865" i="4"/>
  <c r="Z865" i="4"/>
  <c r="V866" i="4"/>
  <c r="AA869" i="4"/>
  <c r="W870" i="4"/>
  <c r="S870" i="4"/>
  <c r="AD872" i="4"/>
  <c r="Z872" i="4"/>
  <c r="AC872" i="4"/>
  <c r="AA872" i="4"/>
  <c r="U873" i="4"/>
  <c r="T874" i="4"/>
  <c r="AB876" i="4"/>
  <c r="AB861" i="4"/>
  <c r="U862" i="4"/>
  <c r="C863" i="4"/>
  <c r="Z863" i="4"/>
  <c r="AD863" i="4"/>
  <c r="S864" i="4"/>
  <c r="W864" i="4"/>
  <c r="AB865" i="4"/>
  <c r="U866" i="4"/>
  <c r="C867" i="4"/>
  <c r="Z867" i="4"/>
  <c r="AD867" i="4"/>
  <c r="S868" i="4"/>
  <c r="W868" i="4"/>
  <c r="AB869" i="4"/>
  <c r="U870" i="4"/>
  <c r="C871" i="4"/>
  <c r="V871" i="4"/>
  <c r="Z871" i="4"/>
  <c r="AD871" i="4"/>
  <c r="S872" i="4"/>
  <c r="W872" i="4"/>
  <c r="U874" i="4"/>
  <c r="AC874" i="4"/>
  <c r="V875" i="4"/>
  <c r="Z875" i="4"/>
  <c r="AD875" i="4"/>
  <c r="S876" i="4"/>
  <c r="W876" i="4"/>
  <c r="AB863" i="4"/>
  <c r="U864" i="4"/>
  <c r="AB867" i="4"/>
  <c r="U868" i="4"/>
  <c r="AB871" i="4"/>
  <c r="U872" i="4"/>
  <c r="AB875" i="4"/>
  <c r="U876" i="4"/>
  <c r="A862" i="4"/>
  <c r="B863" i="4"/>
  <c r="C864" i="4"/>
  <c r="A866" i="4"/>
  <c r="B867" i="4"/>
  <c r="C868" i="4"/>
  <c r="A870" i="4"/>
  <c r="B871" i="4"/>
  <c r="C872" i="4"/>
  <c r="C876" i="4"/>
  <c r="K3" i="3"/>
  <c r="O3" i="3"/>
  <c r="C19" i="4" l="1"/>
  <c r="A19" i="4"/>
  <c r="C34" i="4"/>
  <c r="A47" i="4"/>
  <c r="K14" i="5"/>
  <c r="F20" i="5"/>
  <c r="F18" i="5"/>
  <c r="F19" i="5"/>
  <c r="F16" i="5"/>
  <c r="F14" i="5"/>
  <c r="F15" i="5"/>
  <c r="F17" i="5"/>
  <c r="C15" i="5"/>
  <c r="N20" i="5"/>
  <c r="N17" i="5"/>
  <c r="N14" i="5"/>
  <c r="N19" i="5"/>
  <c r="N16" i="5"/>
  <c r="N18" i="5"/>
  <c r="N15" i="5"/>
  <c r="A146" i="4"/>
  <c r="C14" i="5"/>
  <c r="C16" i="5"/>
  <c r="K16" i="5"/>
  <c r="K15" i="5"/>
  <c r="B3" i="4"/>
  <c r="A400" i="4"/>
  <c r="A414" i="4" s="1"/>
  <c r="C440" i="4"/>
  <c r="Y54" i="3"/>
  <c r="A26" i="4" l="1"/>
  <c r="B7" i="4"/>
  <c r="B4" i="4"/>
  <c r="C95" i="4"/>
  <c r="A51" i="4"/>
  <c r="C51" i="4"/>
  <c r="C81" i="4"/>
  <c r="A34" i="4"/>
  <c r="A64" i="4"/>
  <c r="C489" i="4"/>
  <c r="A177" i="4"/>
  <c r="A226" i="4"/>
  <c r="A241" i="4"/>
  <c r="A211" i="4"/>
  <c r="B5" i="4"/>
  <c r="B8" i="4"/>
  <c r="C527" i="4"/>
  <c r="C751" i="4" s="1"/>
  <c r="B10" i="4"/>
  <c r="A423" i="4"/>
  <c r="C667" i="4"/>
  <c r="Y22" i="3"/>
  <c r="Y21" i="3"/>
  <c r="Y25" i="3"/>
  <c r="Y34" i="3"/>
  <c r="Y30" i="3"/>
  <c r="Y26" i="3"/>
  <c r="Y33" i="3"/>
  <c r="Y50" i="3"/>
  <c r="Y46" i="3"/>
  <c r="Y38" i="3"/>
  <c r="Y8" i="3"/>
  <c r="Y53" i="3"/>
  <c r="Y49" i="3"/>
  <c r="Y45" i="3"/>
  <c r="Y41" i="3"/>
  <c r="Y42" i="3"/>
  <c r="Y18" i="3"/>
  <c r="Y14" i="3"/>
  <c r="Y47" i="3"/>
  <c r="Y10" i="3"/>
  <c r="Y7" i="3"/>
  <c r="Y13" i="3"/>
  <c r="Y29" i="3"/>
  <c r="Y17" i="3"/>
  <c r="Y23" i="3"/>
  <c r="Y39" i="3"/>
  <c r="Y40" i="3"/>
  <c r="Y37" i="3"/>
  <c r="Y31" i="3"/>
  <c r="Y12" i="3"/>
  <c r="Y16" i="3"/>
  <c r="Y20" i="3"/>
  <c r="Y24" i="3"/>
  <c r="Y28" i="3"/>
  <c r="Y32" i="3"/>
  <c r="Y36" i="3"/>
  <c r="Y44" i="3"/>
  <c r="Y48" i="3"/>
  <c r="Y15" i="3"/>
  <c r="Y52" i="3"/>
  <c r="Y9" i="3"/>
  <c r="Y11" i="3"/>
  <c r="Y19" i="3"/>
  <c r="Y27" i="3"/>
  <c r="Y35" i="3"/>
  <c r="Y43" i="3"/>
  <c r="Y51" i="3"/>
  <c r="S85" i="3"/>
  <c r="T85" i="3" s="1"/>
  <c r="T81" i="3"/>
  <c r="U77" i="3"/>
  <c r="S77" i="3"/>
  <c r="U76" i="3"/>
  <c r="S76" i="3"/>
  <c r="S72" i="3"/>
  <c r="S71" i="3"/>
  <c r="S70" i="3"/>
  <c r="S69" i="3"/>
  <c r="S63" i="3"/>
  <c r="S62" i="3"/>
  <c r="S61" i="3"/>
  <c r="S60" i="3"/>
  <c r="S59" i="3"/>
  <c r="S58" i="3"/>
  <c r="G48" i="2"/>
  <c r="G16" i="2"/>
  <c r="G15" i="2"/>
  <c r="L20" i="3" s="1"/>
  <c r="A31" i="4" l="1"/>
  <c r="F22" i="5"/>
  <c r="H22" i="5"/>
  <c r="A43" i="4"/>
  <c r="E22" i="5"/>
  <c r="B11" i="4"/>
  <c r="C111" i="4"/>
  <c r="A66" i="4"/>
  <c r="A68" i="4"/>
  <c r="B14" i="4"/>
  <c r="A276" i="4"/>
  <c r="A291" i="4"/>
  <c r="B17" i="4"/>
  <c r="B19" i="4" s="1"/>
  <c r="A440" i="4"/>
  <c r="AB21" i="3"/>
  <c r="E44" i="3" s="1"/>
  <c r="S44" i="3" s="1"/>
  <c r="R28" i="3"/>
  <c r="B28" i="3" s="1"/>
  <c r="R69" i="3"/>
  <c r="R58" i="3"/>
  <c r="AY9" i="3" s="1"/>
  <c r="R77" i="3"/>
  <c r="R70" i="3"/>
  <c r="R85" i="3"/>
  <c r="R65" i="3"/>
  <c r="R63" i="3"/>
  <c r="R81" i="3"/>
  <c r="R64" i="3"/>
  <c r="R60" i="3"/>
  <c r="R71" i="3"/>
  <c r="R76" i="3"/>
  <c r="R62" i="3"/>
  <c r="R72" i="3"/>
  <c r="R61" i="3"/>
  <c r="R59" i="3"/>
  <c r="R51" i="3"/>
  <c r="B51" i="3" s="1"/>
  <c r="R43" i="3"/>
  <c r="R35" i="3"/>
  <c r="C35" i="3" s="1"/>
  <c r="R42" i="3"/>
  <c r="C42" i="3" s="1"/>
  <c r="R34" i="3"/>
  <c r="D34" i="3" s="1"/>
  <c r="R33" i="3"/>
  <c r="B33" i="3" s="1"/>
  <c r="R48" i="3"/>
  <c r="B48" i="3" s="1"/>
  <c r="R40" i="3"/>
  <c r="C40" i="3" s="1"/>
  <c r="R50" i="3"/>
  <c r="C50" i="3" s="1"/>
  <c r="R44" i="3"/>
  <c r="C44" i="3" s="1"/>
  <c r="R49" i="3"/>
  <c r="D49" i="3" s="1"/>
  <c r="R41" i="3"/>
  <c r="B41" i="3" s="1"/>
  <c r="R32" i="3"/>
  <c r="C32" i="3" s="1"/>
  <c r="R47" i="3"/>
  <c r="C47" i="3" s="1"/>
  <c r="R39" i="3"/>
  <c r="D39" i="3" s="1"/>
  <c r="R31" i="3"/>
  <c r="R36" i="3"/>
  <c r="D36" i="3" s="1"/>
  <c r="R54" i="3"/>
  <c r="R46" i="3"/>
  <c r="B46" i="3" s="1"/>
  <c r="R38" i="3"/>
  <c r="B38" i="3" s="1"/>
  <c r="R30" i="3"/>
  <c r="B30" i="3" s="1"/>
  <c r="R53" i="3"/>
  <c r="R45" i="3"/>
  <c r="R37" i="3"/>
  <c r="B37" i="3" s="1"/>
  <c r="R29" i="3"/>
  <c r="B29" i="3" s="1"/>
  <c r="R52" i="3"/>
  <c r="C52" i="3" s="1"/>
  <c r="T72" i="3"/>
  <c r="BL33" i="3" s="1"/>
  <c r="T61" i="3"/>
  <c r="BF29" i="3" s="1"/>
  <c r="P8" i="3"/>
  <c r="BQ6" i="3"/>
  <c r="P44" i="3"/>
  <c r="P38" i="3"/>
  <c r="AB9" i="3"/>
  <c r="E40" i="3" s="1"/>
  <c r="S40" i="3" s="1"/>
  <c r="AB33" i="3"/>
  <c r="E48" i="3" s="1"/>
  <c r="S48" i="3" s="1"/>
  <c r="AB44" i="3"/>
  <c r="E19" i="3" s="1"/>
  <c r="AB52" i="3"/>
  <c r="H37" i="3" s="1"/>
  <c r="I15" i="2"/>
  <c r="J14" i="3"/>
  <c r="K32" i="3"/>
  <c r="B31" i="2"/>
  <c r="B34" i="2"/>
  <c r="K14" i="3"/>
  <c r="M20" i="3"/>
  <c r="J26" i="3"/>
  <c r="L32" i="3"/>
  <c r="BJ41" i="3"/>
  <c r="J50" i="3"/>
  <c r="T62" i="3"/>
  <c r="BF20" i="3" s="1"/>
  <c r="T76" i="3"/>
  <c r="BR23" i="3" s="1"/>
  <c r="AB10" i="3"/>
  <c r="E8" i="3" s="1"/>
  <c r="AB22" i="3"/>
  <c r="H44" i="3" s="1"/>
  <c r="AB34" i="3"/>
  <c r="H31" i="3" s="1"/>
  <c r="AB45" i="3"/>
  <c r="E52" i="3" s="1"/>
  <c r="B17" i="2"/>
  <c r="J8" i="3"/>
  <c r="L14" i="3"/>
  <c r="K26" i="3"/>
  <c r="M32" i="3"/>
  <c r="J38" i="3"/>
  <c r="J44" i="3"/>
  <c r="T63" i="3"/>
  <c r="BF21" i="3" s="1"/>
  <c r="Z76" i="3"/>
  <c r="BR35" i="3" s="1"/>
  <c r="AB11" i="3"/>
  <c r="H8" i="3" s="1"/>
  <c r="AB23" i="3"/>
  <c r="AB35" i="3"/>
  <c r="AB46" i="3"/>
  <c r="B39" i="2"/>
  <c r="K8" i="3"/>
  <c r="M14" i="3"/>
  <c r="O20" i="3"/>
  <c r="L26" i="3"/>
  <c r="N32" i="3"/>
  <c r="K38" i="3"/>
  <c r="K44" i="3"/>
  <c r="L50" i="3"/>
  <c r="T77" i="3"/>
  <c r="BR24" i="3" s="1"/>
  <c r="AB14" i="3"/>
  <c r="AB26" i="3"/>
  <c r="AB38" i="3"/>
  <c r="AB47" i="3"/>
  <c r="H20" i="3" s="1"/>
  <c r="B37" i="2"/>
  <c r="N20" i="3"/>
  <c r="K50" i="3"/>
  <c r="B20" i="2"/>
  <c r="A5" i="3"/>
  <c r="L8" i="3"/>
  <c r="N14" i="3"/>
  <c r="P20" i="3"/>
  <c r="M26" i="3"/>
  <c r="O32" i="3"/>
  <c r="L38" i="3"/>
  <c r="L44" i="3"/>
  <c r="M50" i="3"/>
  <c r="Z77" i="3"/>
  <c r="BR36" i="3" s="1"/>
  <c r="AB15" i="3"/>
  <c r="AB27" i="3"/>
  <c r="H13" i="3" s="1"/>
  <c r="AB39" i="3"/>
  <c r="H17" i="3" s="1"/>
  <c r="AB50" i="3"/>
  <c r="H53" i="3" s="1"/>
  <c r="H11" i="3"/>
  <c r="H28" i="3"/>
  <c r="B19" i="2"/>
  <c r="B23" i="2"/>
  <c r="AY6" i="3"/>
  <c r="M8" i="3"/>
  <c r="O14" i="3"/>
  <c r="N26" i="3"/>
  <c r="P32" i="3"/>
  <c r="M38" i="3"/>
  <c r="M44" i="3"/>
  <c r="N50" i="3"/>
  <c r="T58" i="3"/>
  <c r="BF12" i="3" s="1"/>
  <c r="T69" i="3"/>
  <c r="BL16" i="3" s="1"/>
  <c r="AB16" i="3"/>
  <c r="E10" i="3" s="1"/>
  <c r="AB28" i="3"/>
  <c r="AB40" i="3"/>
  <c r="H33" i="3" s="1"/>
  <c r="AB51" i="3"/>
  <c r="H38" i="3" s="1"/>
  <c r="B26" i="2"/>
  <c r="BE6" i="3"/>
  <c r="N8" i="3"/>
  <c r="P14" i="3"/>
  <c r="J20" i="3"/>
  <c r="O26" i="3"/>
  <c r="BQ31" i="3"/>
  <c r="N38" i="3"/>
  <c r="N44" i="3"/>
  <c r="O50" i="3"/>
  <c r="T59" i="3"/>
  <c r="BF13" i="3" s="1"/>
  <c r="T70" i="3"/>
  <c r="BL17" i="3" s="1"/>
  <c r="AB17" i="3"/>
  <c r="H10" i="3" s="1"/>
  <c r="AB29" i="3"/>
  <c r="AB41" i="3"/>
  <c r="B48" i="2"/>
  <c r="A1" i="3"/>
  <c r="B29" i="2"/>
  <c r="BK6" i="3"/>
  <c r="O8" i="3"/>
  <c r="K20" i="3"/>
  <c r="P26" i="3"/>
  <c r="J32" i="3"/>
  <c r="O38" i="3"/>
  <c r="O44" i="3"/>
  <c r="P50" i="3"/>
  <c r="T60" i="3"/>
  <c r="BF28" i="3" s="1"/>
  <c r="T71" i="3"/>
  <c r="BL32" i="3" s="1"/>
  <c r="AB8" i="3"/>
  <c r="AB20" i="3"/>
  <c r="H43" i="3" s="1"/>
  <c r="AB32" i="3"/>
  <c r="E15" i="3" s="1"/>
  <c r="B46" i="2"/>
  <c r="AB53" i="3"/>
  <c r="E53" i="3" s="1"/>
  <c r="R27" i="3"/>
  <c r="B27" i="3" s="1"/>
  <c r="R20" i="3"/>
  <c r="B20" i="3" s="1"/>
  <c r="R26" i="3"/>
  <c r="C26" i="3" s="1"/>
  <c r="R24" i="3"/>
  <c r="R25" i="3"/>
  <c r="C25" i="3" s="1"/>
  <c r="R23" i="3"/>
  <c r="C23" i="3" s="1"/>
  <c r="R18" i="3"/>
  <c r="R19" i="3"/>
  <c r="C19" i="3" s="1"/>
  <c r="R22" i="3"/>
  <c r="D22" i="3" s="1"/>
  <c r="R21" i="3"/>
  <c r="C21" i="3" s="1"/>
  <c r="R17" i="3"/>
  <c r="B17" i="3" s="1"/>
  <c r="R16" i="3"/>
  <c r="C16" i="3" s="1"/>
  <c r="R8" i="3"/>
  <c r="B8" i="3" s="1"/>
  <c r="R15" i="3"/>
  <c r="C15" i="3" s="1"/>
  <c r="R14" i="3"/>
  <c r="C14" i="3" s="1"/>
  <c r="R12" i="3"/>
  <c r="D12" i="3" s="1"/>
  <c r="R11" i="3"/>
  <c r="C11" i="3" s="1"/>
  <c r="R9" i="3"/>
  <c r="R7" i="3"/>
  <c r="C7" i="3" s="1"/>
  <c r="R13" i="3"/>
  <c r="B13" i="3" s="1"/>
  <c r="R10" i="3"/>
  <c r="D29" i="3"/>
  <c r="B34" i="3"/>
  <c r="BO41" i="3"/>
  <c r="C34" i="3"/>
  <c r="B22" i="2"/>
  <c r="B25" i="2"/>
  <c r="B33" i="2"/>
  <c r="B41" i="2"/>
  <c r="B42" i="2"/>
  <c r="B18" i="2"/>
  <c r="B27" i="2"/>
  <c r="B35" i="2"/>
  <c r="B43" i="2"/>
  <c r="B28" i="2"/>
  <c r="B36" i="2"/>
  <c r="B44" i="2"/>
  <c r="B45" i="2"/>
  <c r="B21" i="2"/>
  <c r="B30" i="2"/>
  <c r="B38" i="2"/>
  <c r="B47" i="2"/>
  <c r="B24" i="2"/>
  <c r="B32" i="2"/>
  <c r="B40" i="2"/>
  <c r="C22" i="5" l="1"/>
  <c r="D22" i="5"/>
  <c r="A46" i="4"/>
  <c r="A61" i="4" s="1"/>
  <c r="G22" i="5"/>
  <c r="B22" i="5"/>
  <c r="F23" i="5"/>
  <c r="G23" i="5"/>
  <c r="B23" i="5"/>
  <c r="D23" i="5"/>
  <c r="C23" i="5"/>
  <c r="B16" i="4"/>
  <c r="C195" i="4"/>
  <c r="C127" i="4"/>
  <c r="C148" i="4"/>
  <c r="C165" i="4" s="1"/>
  <c r="C181" i="4"/>
  <c r="C197" i="4" s="1"/>
  <c r="A70" i="4"/>
  <c r="B22" i="4"/>
  <c r="B33" i="4"/>
  <c r="A452" i="4"/>
  <c r="D51" i="3"/>
  <c r="B36" i="3"/>
  <c r="B35" i="4"/>
  <c r="A463" i="4"/>
  <c r="A473" i="4" s="1"/>
  <c r="H54" i="3"/>
  <c r="AM38" i="3"/>
  <c r="BK15" i="3"/>
  <c r="BM15" i="3"/>
  <c r="AY29" i="3"/>
  <c r="BA29" i="3"/>
  <c r="BE27" i="3"/>
  <c r="BG27" i="3"/>
  <c r="BA21" i="3"/>
  <c r="AY21" i="3"/>
  <c r="BK31" i="3"/>
  <c r="BM31" i="3"/>
  <c r="BG35" i="3"/>
  <c r="BE35" i="3"/>
  <c r="AY25" i="3"/>
  <c r="BA25" i="3"/>
  <c r="BA37" i="3"/>
  <c r="AY37" i="3"/>
  <c r="BA9" i="3"/>
  <c r="AY13" i="3"/>
  <c r="BA13" i="3"/>
  <c r="BS34" i="3"/>
  <c r="BQ34" i="3"/>
  <c r="BE19" i="3"/>
  <c r="BG19" i="3"/>
  <c r="D25" i="3"/>
  <c r="AY17" i="3"/>
  <c r="BA17" i="3"/>
  <c r="AY33" i="3"/>
  <c r="BA33" i="3"/>
  <c r="BQ22" i="3"/>
  <c r="BS22" i="3"/>
  <c r="BE11" i="3"/>
  <c r="BG11" i="3"/>
  <c r="C8" i="3"/>
  <c r="B49" i="3"/>
  <c r="C36" i="3"/>
  <c r="C49" i="3"/>
  <c r="D35" i="3"/>
  <c r="C41" i="3"/>
  <c r="B25" i="3"/>
  <c r="D38" i="3"/>
  <c r="D8" i="3"/>
  <c r="D28" i="3"/>
  <c r="D41" i="3"/>
  <c r="C38" i="3"/>
  <c r="B15" i="3"/>
  <c r="C22" i="3"/>
  <c r="C39" i="3"/>
  <c r="B11" i="3"/>
  <c r="B22" i="3"/>
  <c r="B39" i="3"/>
  <c r="D33" i="3"/>
  <c r="D27" i="3"/>
  <c r="C48" i="3"/>
  <c r="H51" i="3"/>
  <c r="E22" i="3"/>
  <c r="S22" i="3" s="1"/>
  <c r="H15" i="3"/>
  <c r="X15" i="3" s="1"/>
  <c r="H32" i="3"/>
  <c r="X44" i="3"/>
  <c r="E27" i="3"/>
  <c r="S27" i="3" s="1"/>
  <c r="E11" i="3"/>
  <c r="S11" i="3" s="1"/>
  <c r="T11" i="3" s="1"/>
  <c r="H24" i="3"/>
  <c r="H7" i="3"/>
  <c r="E35" i="3"/>
  <c r="S35" i="3" s="1"/>
  <c r="S19" i="3"/>
  <c r="S52" i="3"/>
  <c r="S10" i="3"/>
  <c r="T10" i="3" s="1"/>
  <c r="X10" i="3"/>
  <c r="X8" i="3"/>
  <c r="S15" i="3"/>
  <c r="X53" i="3"/>
  <c r="S53" i="3"/>
  <c r="T53" i="3" s="1"/>
  <c r="B16" i="3"/>
  <c r="C13" i="3"/>
  <c r="D16" i="3"/>
  <c r="E32" i="3"/>
  <c r="E47" i="3"/>
  <c r="H16" i="3"/>
  <c r="E26" i="3"/>
  <c r="E41" i="3"/>
  <c r="H50" i="3"/>
  <c r="E18" i="3"/>
  <c r="H9" i="3"/>
  <c r="H26" i="3"/>
  <c r="E42" i="3"/>
  <c r="H12" i="3"/>
  <c r="E28" i="3"/>
  <c r="E43" i="3"/>
  <c r="H40" i="3"/>
  <c r="X40" i="3" s="1"/>
  <c r="H23" i="3"/>
  <c r="E25" i="3"/>
  <c r="H41" i="3"/>
  <c r="E9" i="3"/>
  <c r="H21" i="3"/>
  <c r="H46" i="3"/>
  <c r="H29" i="3"/>
  <c r="E14" i="3"/>
  <c r="E39" i="3"/>
  <c r="E24" i="3"/>
  <c r="AM16" i="3"/>
  <c r="AM17" i="3"/>
  <c r="E54" i="3"/>
  <c r="H22" i="3"/>
  <c r="E38" i="3"/>
  <c r="H42" i="3"/>
  <c r="H25" i="3"/>
  <c r="AM9" i="3"/>
  <c r="H30" i="3"/>
  <c r="E46" i="3"/>
  <c r="E12" i="3"/>
  <c r="H47" i="3"/>
  <c r="E31" i="3"/>
  <c r="E36" i="3"/>
  <c r="E51" i="3"/>
  <c r="AM40" i="3"/>
  <c r="H27" i="3"/>
  <c r="X27" i="3" s="1"/>
  <c r="E21" i="3"/>
  <c r="E37" i="3"/>
  <c r="E33" i="3"/>
  <c r="H49" i="3"/>
  <c r="E17" i="3"/>
  <c r="H19" i="3"/>
  <c r="H36" i="3"/>
  <c r="E45" i="3"/>
  <c r="H14" i="3"/>
  <c r="E30" i="3"/>
  <c r="E23" i="3"/>
  <c r="H39" i="3"/>
  <c r="E7" i="3"/>
  <c r="H18" i="3"/>
  <c r="E49" i="3"/>
  <c r="E34" i="3"/>
  <c r="E50" i="3"/>
  <c r="H34" i="3"/>
  <c r="H45" i="3"/>
  <c r="E29" i="3"/>
  <c r="E13" i="3"/>
  <c r="H52" i="3"/>
  <c r="X52" i="3" s="1"/>
  <c r="H35" i="3"/>
  <c r="E20" i="3"/>
  <c r="E16" i="3"/>
  <c r="H48" i="3"/>
  <c r="T48" i="3" s="1"/>
  <c r="D7" i="3"/>
  <c r="B7" i="3"/>
  <c r="D48" i="3"/>
  <c r="D15" i="3"/>
  <c r="D20" i="3"/>
  <c r="D23" i="3"/>
  <c r="C33" i="3"/>
  <c r="D44" i="3"/>
  <c r="D19" i="3"/>
  <c r="B19" i="3"/>
  <c r="D17" i="3"/>
  <c r="C45" i="3"/>
  <c r="B45" i="3"/>
  <c r="B18" i="3"/>
  <c r="D18" i="3"/>
  <c r="D42" i="3"/>
  <c r="C29" i="3"/>
  <c r="D52" i="3"/>
  <c r="B52" i="3"/>
  <c r="D37" i="3"/>
  <c r="D26" i="3"/>
  <c r="B23" i="3"/>
  <c r="B35" i="3"/>
  <c r="D45" i="3"/>
  <c r="C9" i="3"/>
  <c r="D9" i="3"/>
  <c r="B9" i="3"/>
  <c r="C53" i="3"/>
  <c r="D53" i="3"/>
  <c r="B53" i="3"/>
  <c r="B54" i="3"/>
  <c r="C54" i="3"/>
  <c r="D54" i="3"/>
  <c r="D32" i="3"/>
  <c r="B32" i="3"/>
  <c r="C27" i="3"/>
  <c r="C51" i="3"/>
  <c r="D30" i="3"/>
  <c r="C20" i="3"/>
  <c r="D47" i="3"/>
  <c r="B47" i="3"/>
  <c r="B43" i="3"/>
  <c r="D43" i="3"/>
  <c r="B31" i="3"/>
  <c r="D31" i="3"/>
  <c r="C31" i="3"/>
  <c r="B10" i="3"/>
  <c r="D10" i="3"/>
  <c r="B26" i="3"/>
  <c r="D50" i="3"/>
  <c r="B50" i="3"/>
  <c r="C18" i="3"/>
  <c r="C28" i="3"/>
  <c r="C10" i="3"/>
  <c r="D46" i="3"/>
  <c r="C46" i="3"/>
  <c r="D40" i="3"/>
  <c r="B40" i="3"/>
  <c r="B44" i="3"/>
  <c r="D11" i="3"/>
  <c r="C30" i="3"/>
  <c r="C24" i="3"/>
  <c r="D24" i="3"/>
  <c r="B24" i="3"/>
  <c r="C37" i="3"/>
  <c r="C43" i="3"/>
  <c r="C17" i="3"/>
  <c r="D13" i="3"/>
  <c r="B42" i="3"/>
  <c r="B12" i="3"/>
  <c r="C12" i="3"/>
  <c r="B14" i="3"/>
  <c r="D14" i="3"/>
  <c r="B21" i="3"/>
  <c r="D21" i="3"/>
  <c r="AM41" i="3"/>
  <c r="AM34" i="3"/>
  <c r="AM35" i="3"/>
  <c r="AM10" i="3"/>
  <c r="AM14" i="3"/>
  <c r="AM52" i="3"/>
  <c r="AM29" i="3"/>
  <c r="AM46" i="3"/>
  <c r="AM47" i="3"/>
  <c r="AM53" i="3"/>
  <c r="AM39" i="3"/>
  <c r="AM45" i="3"/>
  <c r="AM33" i="3"/>
  <c r="AM28" i="3"/>
  <c r="AM15" i="3"/>
  <c r="AM44" i="3"/>
  <c r="AM26" i="3"/>
  <c r="AM21" i="3"/>
  <c r="AM27" i="3"/>
  <c r="AM23" i="3"/>
  <c r="AM50" i="3"/>
  <c r="AM20" i="3"/>
  <c r="AM32" i="3"/>
  <c r="AM51" i="3"/>
  <c r="AM22" i="3"/>
  <c r="AM11" i="3"/>
  <c r="AM8" i="3"/>
  <c r="S8" i="3"/>
  <c r="T44" i="3"/>
  <c r="T40" i="3"/>
  <c r="H23" i="5" l="1"/>
  <c r="A63" i="4"/>
  <c r="F24" i="5"/>
  <c r="E23" i="5"/>
  <c r="D24" i="5"/>
  <c r="G24" i="5"/>
  <c r="C24" i="5"/>
  <c r="B24" i="5"/>
  <c r="H24" i="5"/>
  <c r="E24" i="5"/>
  <c r="B23" i="4"/>
  <c r="C199" i="4"/>
  <c r="A74" i="4"/>
  <c r="A83" i="4"/>
  <c r="B28" i="4"/>
  <c r="A485" i="4"/>
  <c r="B49" i="4"/>
  <c r="T22" i="3"/>
  <c r="T15" i="3"/>
  <c r="X35" i="3"/>
  <c r="T19" i="3"/>
  <c r="X11" i="3"/>
  <c r="X22" i="3"/>
  <c r="T27" i="3"/>
  <c r="T52" i="3"/>
  <c r="X48" i="3"/>
  <c r="S34" i="3"/>
  <c r="T34" i="3" s="1"/>
  <c r="X34" i="3"/>
  <c r="S46" i="3"/>
  <c r="T46" i="3" s="1"/>
  <c r="X46" i="3"/>
  <c r="S49" i="3"/>
  <c r="T49" i="3" s="1"/>
  <c r="X49" i="3"/>
  <c r="S45" i="3"/>
  <c r="T45" i="3" s="1"/>
  <c r="X45" i="3"/>
  <c r="S32" i="3"/>
  <c r="T32" i="3" s="1"/>
  <c r="X32" i="3"/>
  <c r="S24" i="3"/>
  <c r="T24" i="3" s="1"/>
  <c r="X24" i="3"/>
  <c r="S25" i="3"/>
  <c r="T25" i="3" s="1"/>
  <c r="X25" i="3"/>
  <c r="S29" i="3"/>
  <c r="T29" i="3" s="1"/>
  <c r="X29" i="3"/>
  <c r="S7" i="3"/>
  <c r="T7" i="3" s="1"/>
  <c r="X7" i="3"/>
  <c r="S17" i="3"/>
  <c r="T17" i="3" s="1"/>
  <c r="X17" i="3"/>
  <c r="S36" i="3"/>
  <c r="T36" i="3" s="1"/>
  <c r="X36" i="3"/>
  <c r="S14" i="3"/>
  <c r="T14" i="3" s="1"/>
  <c r="X14" i="3"/>
  <c r="S9" i="3"/>
  <c r="T9" i="3" s="1"/>
  <c r="X9" i="3"/>
  <c r="S47" i="3"/>
  <c r="T47" i="3" s="1"/>
  <c r="X47" i="3"/>
  <c r="S31" i="3"/>
  <c r="T31" i="3" s="1"/>
  <c r="X31" i="3"/>
  <c r="S38" i="3"/>
  <c r="T38" i="3" s="1"/>
  <c r="X38" i="3"/>
  <c r="S43" i="3"/>
  <c r="T43" i="3" s="1"/>
  <c r="X43" i="3"/>
  <c r="S41" i="3"/>
  <c r="T41" i="3" s="1"/>
  <c r="X41" i="3"/>
  <c r="S20" i="3"/>
  <c r="T20" i="3" s="1"/>
  <c r="X20" i="3"/>
  <c r="S21" i="3"/>
  <c r="T21" i="3" s="1"/>
  <c r="X21" i="3"/>
  <c r="S42" i="3"/>
  <c r="T42" i="3" s="1"/>
  <c r="X42" i="3"/>
  <c r="S13" i="3"/>
  <c r="T13" i="3" s="1"/>
  <c r="X13" i="3"/>
  <c r="S51" i="3"/>
  <c r="T51" i="3" s="1"/>
  <c r="X51" i="3"/>
  <c r="S39" i="3"/>
  <c r="X39" i="3"/>
  <c r="S18" i="3"/>
  <c r="T18" i="3" s="1"/>
  <c r="X18" i="3"/>
  <c r="S23" i="3"/>
  <c r="T23" i="3" s="1"/>
  <c r="X23" i="3"/>
  <c r="S33" i="3"/>
  <c r="T33" i="3" s="1"/>
  <c r="X33" i="3"/>
  <c r="S28" i="3"/>
  <c r="T28" i="3" s="1"/>
  <c r="X28" i="3"/>
  <c r="S26" i="3"/>
  <c r="T26" i="3" s="1"/>
  <c r="X26" i="3"/>
  <c r="X19" i="3"/>
  <c r="S16" i="3"/>
  <c r="T16" i="3" s="1"/>
  <c r="X16" i="3"/>
  <c r="S50" i="3"/>
  <c r="T50" i="3" s="1"/>
  <c r="X50" i="3"/>
  <c r="S30" i="3"/>
  <c r="T30" i="3" s="1"/>
  <c r="X30" i="3"/>
  <c r="S37" i="3"/>
  <c r="T37" i="3" s="1"/>
  <c r="X37" i="3"/>
  <c r="S12" i="3"/>
  <c r="T12" i="3" s="1"/>
  <c r="X12" i="3"/>
  <c r="X54" i="3"/>
  <c r="S54" i="3"/>
  <c r="T54" i="3" s="1"/>
  <c r="AG41" i="3"/>
  <c r="AG26" i="3"/>
  <c r="AG29" i="3"/>
  <c r="AG21" i="3"/>
  <c r="AF23" i="3"/>
  <c r="AF47" i="3"/>
  <c r="AG10" i="3"/>
  <c r="AG53" i="3"/>
  <c r="AF34" i="3"/>
  <c r="AG35" i="3"/>
  <c r="AG47" i="3"/>
  <c r="AF38" i="3"/>
  <c r="AG22" i="3"/>
  <c r="AG44" i="3"/>
  <c r="AG15" i="3"/>
  <c r="AG28" i="3"/>
  <c r="AF29" i="3"/>
  <c r="AG38" i="3"/>
  <c r="AF32" i="3"/>
  <c r="AG20" i="3"/>
  <c r="AF10" i="3"/>
  <c r="AG27" i="3"/>
  <c r="AG32" i="3"/>
  <c r="AG11" i="3"/>
  <c r="AF35" i="3"/>
  <c r="AF51" i="3"/>
  <c r="AF50" i="3"/>
  <c r="AF44" i="3"/>
  <c r="AF45" i="3"/>
  <c r="AF53" i="3"/>
  <c r="AG52" i="3"/>
  <c r="AF15" i="3"/>
  <c r="AG9" i="3"/>
  <c r="AG16" i="3"/>
  <c r="AG39" i="3"/>
  <c r="AG51" i="3"/>
  <c r="AF41" i="3"/>
  <c r="AF20" i="3"/>
  <c r="AF17" i="3"/>
  <c r="AG8" i="3"/>
  <c r="AG45" i="3"/>
  <c r="AF21" i="3"/>
  <c r="AF33" i="3"/>
  <c r="AF39" i="3"/>
  <c r="AF28" i="3"/>
  <c r="AG23" i="3"/>
  <c r="AG50" i="3"/>
  <c r="AF9" i="3"/>
  <c r="AF8" i="3"/>
  <c r="AF52" i="3"/>
  <c r="AG17" i="3"/>
  <c r="AF22" i="3"/>
  <c r="AF11" i="3"/>
  <c r="AG33" i="3"/>
  <c r="AF27" i="3"/>
  <c r="T39" i="3"/>
  <c r="AG40" i="3"/>
  <c r="AF26" i="3"/>
  <c r="AF14" i="3"/>
  <c r="AF40" i="3"/>
  <c r="AG14" i="3"/>
  <c r="AG34" i="3"/>
  <c r="AF16" i="3"/>
  <c r="AF46" i="3"/>
  <c r="AG46" i="3"/>
  <c r="T35" i="3"/>
  <c r="T8" i="3"/>
  <c r="A79" i="4" l="1"/>
  <c r="C202" i="4"/>
  <c r="B29" i="4"/>
  <c r="C228" i="4"/>
  <c r="C213" i="4"/>
  <c r="A81" i="4"/>
  <c r="B34" i="4"/>
  <c r="A98" i="4"/>
  <c r="A489" i="4"/>
  <c r="B44" i="4"/>
  <c r="B50" i="4"/>
  <c r="AI22" i="3"/>
  <c r="AI9" i="3"/>
  <c r="AI40" i="3"/>
  <c r="AI29" i="3"/>
  <c r="AI41" i="3"/>
  <c r="AI34" i="3"/>
  <c r="AI51" i="3"/>
  <c r="AI35" i="3"/>
  <c r="AI16" i="3"/>
  <c r="AI39" i="3"/>
  <c r="AI8" i="3"/>
  <c r="AI44" i="3"/>
  <c r="AI38" i="3"/>
  <c r="AI28" i="3"/>
  <c r="AH10" i="3"/>
  <c r="AI21" i="3"/>
  <c r="AI14" i="3"/>
  <c r="AI26" i="3"/>
  <c r="AI47" i="3"/>
  <c r="AI46" i="3"/>
  <c r="AG18" i="3"/>
  <c r="AF42" i="3"/>
  <c r="AI33" i="3"/>
  <c r="AG42" i="3"/>
  <c r="AI10" i="3"/>
  <c r="AI23" i="3"/>
  <c r="AI17" i="3"/>
  <c r="AG36" i="3"/>
  <c r="AF24" i="3"/>
  <c r="AI32" i="3"/>
  <c r="AI52" i="3"/>
  <c r="AI20" i="3"/>
  <c r="AI45" i="3"/>
  <c r="AG54" i="3"/>
  <c r="AH11" i="3"/>
  <c r="AG30" i="3"/>
  <c r="AI53" i="3"/>
  <c r="AF54" i="3"/>
  <c r="AF30" i="3"/>
  <c r="AG24" i="3"/>
  <c r="AE41" i="3"/>
  <c r="AF36" i="3"/>
  <c r="AG12" i="3"/>
  <c r="AI11" i="3"/>
  <c r="AF18" i="3"/>
  <c r="AH8" i="3"/>
  <c r="AD29" i="3"/>
  <c r="AC34" i="3"/>
  <c r="AF12" i="3"/>
  <c r="AE15" i="3"/>
  <c r="AD34" i="3"/>
  <c r="AF48" i="3"/>
  <c r="AE38" i="3"/>
  <c r="AI15" i="3"/>
  <c r="AG48" i="3"/>
  <c r="AH9" i="3"/>
  <c r="AE20" i="3"/>
  <c r="AC17" i="3"/>
  <c r="AI50" i="3"/>
  <c r="AI27" i="3"/>
  <c r="AE44" i="3"/>
  <c r="AE40" i="3"/>
  <c r="AC50" i="3"/>
  <c r="AE29" i="3"/>
  <c r="AD38" i="3"/>
  <c r="AC39" i="3"/>
  <c r="AE51" i="3"/>
  <c r="AE22" i="3"/>
  <c r="AC51" i="3"/>
  <c r="AD16" i="3"/>
  <c r="AE8" i="3"/>
  <c r="AE34" i="3"/>
  <c r="AE33" i="3"/>
  <c r="AD23" i="3"/>
  <c r="AD26" i="3"/>
  <c r="AD9" i="3"/>
  <c r="AC23" i="3"/>
  <c r="AC8" i="3"/>
  <c r="AC53" i="3"/>
  <c r="AE46" i="3"/>
  <c r="AD14" i="3"/>
  <c r="AC21" i="3"/>
  <c r="AC11" i="3"/>
  <c r="AD44" i="3"/>
  <c r="AD20" i="3"/>
  <c r="AD53" i="3"/>
  <c r="AE35" i="3"/>
  <c r="AC9" i="3"/>
  <c r="AD32" i="3"/>
  <c r="AC14" i="3"/>
  <c r="AD45" i="3"/>
  <c r="AD21" i="3"/>
  <c r="AC41" i="3"/>
  <c r="AD28" i="3"/>
  <c r="AD35" i="3"/>
  <c r="AD47" i="3"/>
  <c r="AE17" i="3"/>
  <c r="AC26" i="3"/>
  <c r="AE16" i="3"/>
  <c r="AC20" i="3"/>
  <c r="AC29" i="3"/>
  <c r="AD10" i="3"/>
  <c r="AE45" i="3"/>
  <c r="AC40" i="3"/>
  <c r="AD8" i="3"/>
  <c r="AD17" i="3"/>
  <c r="AC35" i="3"/>
  <c r="AC33" i="3"/>
  <c r="AC10" i="3"/>
  <c r="AE21" i="3"/>
  <c r="AE11" i="3"/>
  <c r="AE28" i="3"/>
  <c r="AE27" i="3"/>
  <c r="AD39" i="3"/>
  <c r="AD40" i="3"/>
  <c r="AE32" i="3"/>
  <c r="AC27" i="3"/>
  <c r="AC47" i="3"/>
  <c r="AE39" i="3"/>
  <c r="AD22" i="3"/>
  <c r="AD33" i="3"/>
  <c r="AC44" i="3"/>
  <c r="AE26" i="3"/>
  <c r="AD11" i="3"/>
  <c r="AE14" i="3"/>
  <c r="AD15" i="3"/>
  <c r="AC38" i="3"/>
  <c r="AD27" i="3"/>
  <c r="AE10" i="3"/>
  <c r="AE50" i="3"/>
  <c r="AE23" i="3"/>
  <c r="AC16" i="3"/>
  <c r="AD46" i="3"/>
  <c r="AD51" i="3"/>
  <c r="AE47" i="3"/>
  <c r="AD52" i="3"/>
  <c r="AC45" i="3"/>
  <c r="AC28" i="3"/>
  <c r="AE53" i="3"/>
  <c r="AC15" i="3"/>
  <c r="AE9" i="3"/>
  <c r="AD41" i="3"/>
  <c r="AC32" i="3"/>
  <c r="AD50" i="3"/>
  <c r="AE52" i="3"/>
  <c r="AC22" i="3"/>
  <c r="AC46" i="3"/>
  <c r="AC52" i="3"/>
  <c r="D25" i="5" l="1"/>
  <c r="E25" i="5"/>
  <c r="A90" i="4"/>
  <c r="A93" i="4" s="1"/>
  <c r="C25" i="5"/>
  <c r="C245" i="4"/>
  <c r="C235" i="4"/>
  <c r="G25" i="5"/>
  <c r="B39" i="4"/>
  <c r="B45" i="4"/>
  <c r="C296" i="4"/>
  <c r="C313" i="4"/>
  <c r="C346" i="4" s="1"/>
  <c r="C358" i="4" s="1"/>
  <c r="C372" i="4" s="1"/>
  <c r="C392" i="4" s="1"/>
  <c r="C403" i="4" s="1"/>
  <c r="C416" i="4" s="1"/>
  <c r="A111" i="4"/>
  <c r="F25" i="5"/>
  <c r="B25" i="5"/>
  <c r="H25" i="5"/>
  <c r="A95" i="4"/>
  <c r="B54" i="4"/>
  <c r="B51" i="4"/>
  <c r="A113" i="4"/>
  <c r="A503" i="4"/>
  <c r="B65" i="4"/>
  <c r="B210" i="4"/>
  <c r="AI43" i="3"/>
  <c r="AI42" i="3" s="1"/>
  <c r="AJ41" i="3" s="1"/>
  <c r="AK29" i="3"/>
  <c r="AH29" i="3" s="1"/>
  <c r="AI37" i="3"/>
  <c r="AI36" i="3" s="1"/>
  <c r="AJ32" i="3" s="1"/>
  <c r="U7" i="3"/>
  <c r="V7" i="3" s="1"/>
  <c r="U8" i="3"/>
  <c r="W8" i="3" s="1"/>
  <c r="AI25" i="3"/>
  <c r="AI24" i="3" s="1"/>
  <c r="AJ21" i="3" s="1"/>
  <c r="AI49" i="3"/>
  <c r="AI48" i="3" s="1"/>
  <c r="AJ46" i="3" s="1"/>
  <c r="AI31" i="3"/>
  <c r="AI30" i="3" s="1"/>
  <c r="AJ26" i="3" s="1"/>
  <c r="AK34" i="3"/>
  <c r="AH34" i="3" s="1"/>
  <c r="AK39" i="3"/>
  <c r="AH39" i="3" s="1"/>
  <c r="AK17" i="3"/>
  <c r="AH17" i="3" s="1"/>
  <c r="AI19" i="3"/>
  <c r="AI18" i="3" s="1"/>
  <c r="AJ16" i="3" s="1"/>
  <c r="AI55" i="3"/>
  <c r="AI54" i="3" s="1"/>
  <c r="AJ53" i="3" s="1"/>
  <c r="AI13" i="3"/>
  <c r="AI12" i="3" s="1"/>
  <c r="AJ9" i="3" s="1"/>
  <c r="AH13" i="3"/>
  <c r="AH12" i="3" s="1"/>
  <c r="AE42" i="3"/>
  <c r="AK22" i="3"/>
  <c r="AH22" i="3" s="1"/>
  <c r="AK51" i="3"/>
  <c r="AH51" i="3" s="1"/>
  <c r="AK35" i="3"/>
  <c r="AH35" i="3" s="1"/>
  <c r="AE48" i="3"/>
  <c r="AK47" i="3"/>
  <c r="AH47" i="3" s="1"/>
  <c r="AK16" i="3"/>
  <c r="AH16" i="3" s="1"/>
  <c r="AK52" i="3"/>
  <c r="AH52" i="3" s="1"/>
  <c r="AK9" i="3"/>
  <c r="AE36" i="3"/>
  <c r="AK45" i="3"/>
  <c r="AH45" i="3" s="1"/>
  <c r="AE24" i="3"/>
  <c r="AE18" i="3"/>
  <c r="AK28" i="3"/>
  <c r="AH28" i="3" s="1"/>
  <c r="AD42" i="3"/>
  <c r="AE12" i="3"/>
  <c r="AE30" i="3"/>
  <c r="AK27" i="3"/>
  <c r="AH27" i="3" s="1"/>
  <c r="AK10" i="3"/>
  <c r="AK41" i="3"/>
  <c r="AH41" i="3" s="1"/>
  <c r="AD24" i="3"/>
  <c r="AK23" i="3"/>
  <c r="AH23" i="3" s="1"/>
  <c r="AK15" i="3"/>
  <c r="AH15" i="3" s="1"/>
  <c r="AD54" i="3"/>
  <c r="AC12" i="3"/>
  <c r="AK8" i="3"/>
  <c r="AK33" i="3"/>
  <c r="AK20" i="3"/>
  <c r="AC24" i="3"/>
  <c r="AD48" i="3"/>
  <c r="AK46" i="3"/>
  <c r="AK11" i="3"/>
  <c r="AD30" i="3"/>
  <c r="AE54" i="3"/>
  <c r="AC48" i="3"/>
  <c r="AK44" i="3"/>
  <c r="AK26" i="3"/>
  <c r="AC30" i="3"/>
  <c r="AC18" i="3"/>
  <c r="AK14" i="3"/>
  <c r="AK21" i="3"/>
  <c r="AD12" i="3"/>
  <c r="AD36" i="3"/>
  <c r="AD18" i="3"/>
  <c r="AK50" i="3"/>
  <c r="AK40" i="3"/>
  <c r="AC54" i="3"/>
  <c r="AC36" i="3"/>
  <c r="AK32" i="3"/>
  <c r="AK38" i="3"/>
  <c r="AC42" i="3"/>
  <c r="AK53" i="3"/>
  <c r="A108" i="4" l="1"/>
  <c r="A106" i="4"/>
  <c r="A122" i="4" s="1"/>
  <c r="C280" i="4"/>
  <c r="C266" i="4"/>
  <c r="C431" i="4" s="1"/>
  <c r="A125" i="4"/>
  <c r="C451" i="4"/>
  <c r="C464" i="4" s="1"/>
  <c r="C474" i="4" s="1"/>
  <c r="B55" i="4"/>
  <c r="B58" i="4"/>
  <c r="B71" i="4" s="1"/>
  <c r="A127" i="4"/>
  <c r="A135" i="4" s="1"/>
  <c r="A138" i="4"/>
  <c r="A512" i="4"/>
  <c r="B226" i="4"/>
  <c r="B73" i="4"/>
  <c r="AJ38" i="3"/>
  <c r="U54" i="3"/>
  <c r="W54" i="3" s="1"/>
  <c r="AJ39" i="3"/>
  <c r="AJ40" i="3"/>
  <c r="AJ35" i="3"/>
  <c r="AJ33" i="3"/>
  <c r="AJ34" i="3"/>
  <c r="AJ20" i="3"/>
  <c r="AJ22" i="3"/>
  <c r="W7" i="3"/>
  <c r="V8" i="3"/>
  <c r="AJ23" i="3"/>
  <c r="AJ14" i="3"/>
  <c r="AJ47" i="3"/>
  <c r="AJ45" i="3"/>
  <c r="AJ44" i="3"/>
  <c r="AJ15" i="3"/>
  <c r="AJ17" i="3"/>
  <c r="AJ51" i="3"/>
  <c r="AJ52" i="3"/>
  <c r="AJ50" i="3"/>
  <c r="AJ8" i="3"/>
  <c r="AJ11" i="3"/>
  <c r="AJ10" i="3"/>
  <c r="U42" i="3"/>
  <c r="V42" i="3" s="1"/>
  <c r="U14" i="3"/>
  <c r="W14" i="3" s="1"/>
  <c r="U12" i="3"/>
  <c r="W12" i="3" s="1"/>
  <c r="U10" i="3"/>
  <c r="W10" i="3" s="1"/>
  <c r="AK54" i="3"/>
  <c r="AH50" i="3"/>
  <c r="AH33" i="3"/>
  <c r="U32" i="3" s="1"/>
  <c r="AJ28" i="3"/>
  <c r="AH21" i="3"/>
  <c r="U46" i="3" s="1"/>
  <c r="U40" i="3"/>
  <c r="AK48" i="3"/>
  <c r="AH44" i="3"/>
  <c r="U51" i="3" s="1"/>
  <c r="U24" i="3"/>
  <c r="U30" i="3"/>
  <c r="AK30" i="3"/>
  <c r="AH26" i="3"/>
  <c r="AK12" i="3"/>
  <c r="AK18" i="3"/>
  <c r="AH14" i="3"/>
  <c r="U39" i="3" s="1"/>
  <c r="AH46" i="3"/>
  <c r="U20" i="3" s="1"/>
  <c r="AH53" i="3"/>
  <c r="AH40" i="3"/>
  <c r="AK42" i="3"/>
  <c r="AH38" i="3"/>
  <c r="AK36" i="3"/>
  <c r="AH32" i="3"/>
  <c r="AJ27" i="3"/>
  <c r="AK24" i="3"/>
  <c r="AH20" i="3"/>
  <c r="AJ29" i="3"/>
  <c r="F27" i="5" l="1"/>
  <c r="G27" i="5"/>
  <c r="H27" i="5"/>
  <c r="C27" i="5"/>
  <c r="G26" i="5"/>
  <c r="C26" i="5"/>
  <c r="D27" i="5"/>
  <c r="A141" i="4"/>
  <c r="E28" i="5" s="1"/>
  <c r="F26" i="5"/>
  <c r="G28" i="5"/>
  <c r="D28" i="5"/>
  <c r="B27" i="5"/>
  <c r="H26" i="5"/>
  <c r="E26" i="5"/>
  <c r="B26" i="5"/>
  <c r="D26" i="5"/>
  <c r="E27" i="5"/>
  <c r="A147" i="4"/>
  <c r="C787" i="4"/>
  <c r="C795" i="4" s="1"/>
  <c r="C680" i="4"/>
  <c r="H28" i="5"/>
  <c r="C28" i="5"/>
  <c r="B28" i="5"/>
  <c r="F28" i="5"/>
  <c r="A162" i="4"/>
  <c r="A148" i="4"/>
  <c r="A150" i="4" s="1"/>
  <c r="H29" i="5"/>
  <c r="A527" i="4"/>
  <c r="A487" i="4"/>
  <c r="A521" i="4" s="1"/>
  <c r="A494" i="4"/>
  <c r="A648" i="4"/>
  <c r="A549" i="4"/>
  <c r="B76" i="4"/>
  <c r="B244" i="4"/>
  <c r="V54" i="3"/>
  <c r="W51" i="3"/>
  <c r="V51" i="3"/>
  <c r="U52" i="3"/>
  <c r="U36" i="3"/>
  <c r="V36" i="3" s="1"/>
  <c r="U53" i="3"/>
  <c r="U47" i="3"/>
  <c r="W47" i="3" s="1"/>
  <c r="U44" i="3"/>
  <c r="V44" i="3" s="1"/>
  <c r="U45" i="3"/>
  <c r="V45" i="3" s="1"/>
  <c r="W42" i="3"/>
  <c r="U41" i="3"/>
  <c r="U35" i="3"/>
  <c r="V35" i="3" s="1"/>
  <c r="U25" i="3"/>
  <c r="V25" i="3" s="1"/>
  <c r="U22" i="3"/>
  <c r="V22" i="3" s="1"/>
  <c r="U19" i="3"/>
  <c r="V19" i="3" s="1"/>
  <c r="U48" i="3"/>
  <c r="V48" i="3" s="1"/>
  <c r="U50" i="3"/>
  <c r="W50" i="3" s="1"/>
  <c r="V10" i="3"/>
  <c r="U16" i="3"/>
  <c r="U37" i="3"/>
  <c r="V37" i="3" s="1"/>
  <c r="V14" i="3"/>
  <c r="U23" i="3"/>
  <c r="V23" i="3" s="1"/>
  <c r="U29" i="3"/>
  <c r="V29" i="3" s="1"/>
  <c r="V12" i="3"/>
  <c r="AH19" i="3"/>
  <c r="AH18" i="3" s="1"/>
  <c r="U9" i="3"/>
  <c r="U26" i="3"/>
  <c r="W39" i="3"/>
  <c r="V39" i="3"/>
  <c r="AH37" i="3"/>
  <c r="AH36" i="3" s="1"/>
  <c r="U15" i="3"/>
  <c r="U31" i="3"/>
  <c r="W40" i="3"/>
  <c r="V40" i="3"/>
  <c r="AH31" i="3"/>
  <c r="AH30" i="3" s="1"/>
  <c r="U13" i="3"/>
  <c r="U28" i="3"/>
  <c r="U49" i="3"/>
  <c r="AH55" i="3"/>
  <c r="AH54" i="3" s="1"/>
  <c r="U21" i="3"/>
  <c r="U38" i="3"/>
  <c r="AH43" i="3"/>
  <c r="AH42" i="3" s="1"/>
  <c r="U17" i="3"/>
  <c r="U33" i="3"/>
  <c r="W32" i="3"/>
  <c r="V32" i="3"/>
  <c r="AH25" i="3"/>
  <c r="AH24" i="3" s="1"/>
  <c r="U11" i="3"/>
  <c r="U27" i="3"/>
  <c r="U43" i="3"/>
  <c r="AH49" i="3"/>
  <c r="AH48" i="3" s="1"/>
  <c r="U18" i="3"/>
  <c r="U34" i="3"/>
  <c r="V30" i="3"/>
  <c r="W30" i="3"/>
  <c r="W46" i="3"/>
  <c r="V46" i="3"/>
  <c r="W20" i="3"/>
  <c r="V20" i="3"/>
  <c r="W24" i="3"/>
  <c r="V24" i="3"/>
  <c r="A143" i="4" l="1"/>
  <c r="A159" i="4" s="1"/>
  <c r="A659" i="4"/>
  <c r="C728" i="4"/>
  <c r="B8" i="5"/>
  <c r="A509" i="4"/>
  <c r="E8" i="5"/>
  <c r="B81" i="4"/>
  <c r="B78" i="4"/>
  <c r="B94" i="4" s="1"/>
  <c r="B29" i="5"/>
  <c r="A178" i="4"/>
  <c r="A165" i="4"/>
  <c r="A166" i="4" s="1"/>
  <c r="C29" i="5"/>
  <c r="B30" i="5"/>
  <c r="D29" i="5"/>
  <c r="G29" i="5"/>
  <c r="F29" i="5"/>
  <c r="E29" i="5"/>
  <c r="A556" i="4"/>
  <c r="A692" i="4"/>
  <c r="A547" i="4"/>
  <c r="A554" i="4" s="1"/>
  <c r="B85" i="4"/>
  <c r="B101" i="4"/>
  <c r="B166" i="4"/>
  <c r="B154" i="4"/>
  <c r="B204" i="4"/>
  <c r="W36" i="3"/>
  <c r="W53" i="3"/>
  <c r="V53" i="3"/>
  <c r="V52" i="3"/>
  <c r="W52" i="3"/>
  <c r="W44" i="3"/>
  <c r="V47" i="3"/>
  <c r="W45" i="3"/>
  <c r="V41" i="3"/>
  <c r="W41" i="3"/>
  <c r="W35" i="3"/>
  <c r="W25" i="3"/>
  <c r="W19" i="3"/>
  <c r="W22" i="3"/>
  <c r="W48" i="3"/>
  <c r="W37" i="3"/>
  <c r="V50" i="3"/>
  <c r="W29" i="3"/>
  <c r="W16" i="3"/>
  <c r="V16" i="3"/>
  <c r="W23" i="3"/>
  <c r="W49" i="3"/>
  <c r="V49" i="3"/>
  <c r="W34" i="3"/>
  <c r="V34" i="3"/>
  <c r="W13" i="3"/>
  <c r="V13" i="3"/>
  <c r="W18" i="3"/>
  <c r="V18" i="3"/>
  <c r="W17" i="3"/>
  <c r="V17" i="3"/>
  <c r="W33" i="3"/>
  <c r="V33" i="3"/>
  <c r="W43" i="3"/>
  <c r="V43" i="3"/>
  <c r="W38" i="3"/>
  <c r="V38" i="3"/>
  <c r="V11" i="3"/>
  <c r="W11" i="3"/>
  <c r="W21" i="3"/>
  <c r="V21" i="3"/>
  <c r="W26" i="3"/>
  <c r="V26" i="3"/>
  <c r="W27" i="3"/>
  <c r="V27" i="3"/>
  <c r="W31" i="3"/>
  <c r="V31" i="3"/>
  <c r="V9" i="3"/>
  <c r="W9" i="3"/>
  <c r="AP50" i="3"/>
  <c r="AS10" i="3"/>
  <c r="AP41" i="3"/>
  <c r="AR33" i="3"/>
  <c r="AQ23" i="3"/>
  <c r="AR34" i="3"/>
  <c r="AR14" i="3"/>
  <c r="AS47" i="3"/>
  <c r="AP14" i="3"/>
  <c r="AP40" i="3"/>
  <c r="AQ11" i="3"/>
  <c r="AR32" i="3"/>
  <c r="AQ26" i="3"/>
  <c r="AS38" i="3"/>
  <c r="AS14" i="3"/>
  <c r="AR40" i="3"/>
  <c r="AS33" i="3"/>
  <c r="AQ34" i="3"/>
  <c r="AR53" i="3"/>
  <c r="AP26" i="3"/>
  <c r="AR10" i="3"/>
  <c r="AS22" i="3"/>
  <c r="AP44" i="3"/>
  <c r="AR28" i="3"/>
  <c r="AQ40" i="3"/>
  <c r="AS20" i="3"/>
  <c r="AS26" i="3"/>
  <c r="AR51" i="3"/>
  <c r="AQ22" i="3"/>
  <c r="AS17" i="3"/>
  <c r="AR21" i="3"/>
  <c r="AR52" i="3"/>
  <c r="AQ10" i="3"/>
  <c r="AR9" i="3"/>
  <c r="AQ38" i="3"/>
  <c r="AQ29" i="3"/>
  <c r="AQ47" i="3"/>
  <c r="AS34" i="3"/>
  <c r="AR26" i="3"/>
  <c r="AS9" i="3"/>
  <c r="AS51" i="3"/>
  <c r="AQ51" i="3"/>
  <c r="AQ8" i="3"/>
  <c r="AP29" i="3"/>
  <c r="AP9" i="3"/>
  <c r="AR39" i="3"/>
  <c r="AR38" i="3"/>
  <c r="AP27" i="3"/>
  <c r="AP39" i="3"/>
  <c r="AS21" i="3"/>
  <c r="AP11" i="3"/>
  <c r="AQ53" i="3"/>
  <c r="AS50" i="3"/>
  <c r="AP21" i="3"/>
  <c r="AR41" i="3"/>
  <c r="AP10" i="3"/>
  <c r="AS23" i="3"/>
  <c r="AS27" i="3"/>
  <c r="AP8" i="3"/>
  <c r="AQ9" i="3"/>
  <c r="AR45" i="3"/>
  <c r="AQ46" i="3"/>
  <c r="AS8" i="3"/>
  <c r="AR29" i="3"/>
  <c r="AQ20" i="3"/>
  <c r="AQ27" i="3"/>
  <c r="AQ41" i="3"/>
  <c r="AR17" i="3"/>
  <c r="AP35" i="3"/>
  <c r="AR23" i="3"/>
  <c r="AR35" i="3"/>
  <c r="AQ45" i="3"/>
  <c r="AP52" i="3"/>
  <c r="AP16" i="3"/>
  <c r="AP33" i="3"/>
  <c r="AQ21" i="3"/>
  <c r="AS29" i="3"/>
  <c r="AQ35" i="3"/>
  <c r="AP15" i="3"/>
  <c r="AQ17" i="3"/>
  <c r="AS46" i="3"/>
  <c r="AR15" i="3"/>
  <c r="AP23" i="3"/>
  <c r="AP51" i="3"/>
  <c r="AP46" i="3"/>
  <c r="AR8" i="3"/>
  <c r="AS41" i="3"/>
  <c r="AQ52" i="3"/>
  <c r="AQ16" i="3"/>
  <c r="AS44" i="3"/>
  <c r="AR22" i="3"/>
  <c r="AQ28" i="3"/>
  <c r="AR11" i="3"/>
  <c r="AQ33" i="3"/>
  <c r="AR47" i="3"/>
  <c r="AP32" i="3"/>
  <c r="AS52" i="3"/>
  <c r="AP34" i="3"/>
  <c r="AS40" i="3"/>
  <c r="AQ14" i="3"/>
  <c r="AS53" i="3"/>
  <c r="AS15" i="3"/>
  <c r="AS39" i="3"/>
  <c r="AP47" i="3"/>
  <c r="AQ15" i="3"/>
  <c r="AP53" i="3"/>
  <c r="AS11" i="3"/>
  <c r="AR27" i="3"/>
  <c r="AS35" i="3"/>
  <c r="AQ50" i="3"/>
  <c r="AS28" i="3"/>
  <c r="AR16" i="3"/>
  <c r="AR50" i="3"/>
  <c r="AP38" i="3"/>
  <c r="AR46" i="3"/>
  <c r="AQ32" i="3"/>
  <c r="AS16" i="3"/>
  <c r="AR20" i="3"/>
  <c r="AQ39" i="3"/>
  <c r="AP20" i="3"/>
  <c r="AP45" i="3"/>
  <c r="AP22" i="3"/>
  <c r="AQ44" i="3"/>
  <c r="AS32" i="3"/>
  <c r="AP28" i="3"/>
  <c r="AP17" i="3"/>
  <c r="AR44" i="3"/>
  <c r="AS45" i="3"/>
  <c r="W28" i="3"/>
  <c r="V28" i="3"/>
  <c r="W15" i="3"/>
  <c r="V15" i="3"/>
  <c r="B9" i="5" l="1"/>
  <c r="D5" i="5"/>
  <c r="C6" i="5"/>
  <c r="C5" i="5"/>
  <c r="C7" i="5"/>
  <c r="D7" i="5"/>
  <c r="F7" i="5"/>
  <c r="H6" i="5"/>
  <c r="F6" i="5"/>
  <c r="B5" i="5"/>
  <c r="D30" i="5"/>
  <c r="D9" i="5"/>
  <c r="D8" i="5"/>
  <c r="G8" i="5"/>
  <c r="F8" i="5"/>
  <c r="B7" i="5"/>
  <c r="G5" i="5"/>
  <c r="E5" i="5"/>
  <c r="F5" i="5"/>
  <c r="G9" i="5"/>
  <c r="C9" i="5"/>
  <c r="H8" i="5"/>
  <c r="H9" i="5"/>
  <c r="H5" i="5"/>
  <c r="D6" i="5"/>
  <c r="H7" i="5"/>
  <c r="E6" i="5"/>
  <c r="F30" i="5"/>
  <c r="F9" i="5"/>
  <c r="C8" i="5"/>
  <c r="E9" i="5"/>
  <c r="E7" i="5"/>
  <c r="G7" i="5"/>
  <c r="B6" i="5"/>
  <c r="G6" i="5"/>
  <c r="C30" i="5"/>
  <c r="A175" i="4"/>
  <c r="A667" i="4"/>
  <c r="H30" i="5"/>
  <c r="A199" i="4"/>
  <c r="A181" i="4"/>
  <c r="A183" i="4" s="1"/>
  <c r="E30" i="5"/>
  <c r="G30" i="5"/>
  <c r="B95" i="4"/>
  <c r="A704" i="4"/>
  <c r="A564" i="4"/>
  <c r="A563" i="4"/>
  <c r="A687" i="4" s="1"/>
  <c r="B217" i="4"/>
  <c r="B116" i="4"/>
  <c r="B110" i="4"/>
  <c r="B182" i="4"/>
  <c r="B170" i="4"/>
  <c r="B249" i="4"/>
  <c r="B297" i="4"/>
  <c r="AT47" i="3"/>
  <c r="AS36" i="3"/>
  <c r="AT17" i="3"/>
  <c r="AQ48" i="3"/>
  <c r="AT22" i="3"/>
  <c r="AT46" i="3"/>
  <c r="AT10" i="3"/>
  <c r="AQ36" i="3"/>
  <c r="AT27" i="3"/>
  <c r="AQ54" i="3"/>
  <c r="AS30" i="3"/>
  <c r="AT53" i="3"/>
  <c r="AQ24" i="3"/>
  <c r="AQ42" i="3"/>
  <c r="AQ18" i="3"/>
  <c r="AT51" i="3"/>
  <c r="AP30" i="3"/>
  <c r="AR36" i="3"/>
  <c r="AT32" i="3"/>
  <c r="AT33" i="3"/>
  <c r="AP12" i="3"/>
  <c r="AP42" i="3"/>
  <c r="AS48" i="3"/>
  <c r="AT15" i="3"/>
  <c r="AT9" i="3"/>
  <c r="AS24" i="3"/>
  <c r="AP18" i="3"/>
  <c r="AP54" i="3"/>
  <c r="AP24" i="3"/>
  <c r="AT16" i="3"/>
  <c r="AP36" i="3"/>
  <c r="AT29" i="3"/>
  <c r="AT52" i="3"/>
  <c r="AT28" i="3"/>
  <c r="AT40" i="3"/>
  <c r="AQ12" i="3"/>
  <c r="AR48" i="3"/>
  <c r="AT44" i="3"/>
  <c r="AT35" i="3"/>
  <c r="AS12" i="3"/>
  <c r="AT41" i="3"/>
  <c r="AT38" i="3"/>
  <c r="AR42" i="3"/>
  <c r="AR30" i="3"/>
  <c r="AT26" i="3"/>
  <c r="AT21" i="3"/>
  <c r="AP48" i="3"/>
  <c r="AS18" i="3"/>
  <c r="AR18" i="3"/>
  <c r="AT14" i="3"/>
  <c r="AT20" i="3"/>
  <c r="AR24" i="3"/>
  <c r="AT8" i="3"/>
  <c r="AR12" i="3"/>
  <c r="AT23" i="3"/>
  <c r="AT39" i="3"/>
  <c r="AS42" i="3"/>
  <c r="AT34" i="3"/>
  <c r="AT50" i="3"/>
  <c r="AR54" i="3"/>
  <c r="AT11" i="3"/>
  <c r="AT45" i="3"/>
  <c r="AS54" i="3"/>
  <c r="AQ30" i="3"/>
  <c r="A715" i="4" l="1"/>
  <c r="A195" i="4"/>
  <c r="A197" i="4" s="1"/>
  <c r="A191" i="4"/>
  <c r="A675" i="4"/>
  <c r="A206" i="4"/>
  <c r="A202" i="4"/>
  <c r="B111" i="4"/>
  <c r="A723" i="4"/>
  <c r="A698" i="4"/>
  <c r="A702" i="4" s="1"/>
  <c r="A721" i="4" s="1"/>
  <c r="B258" i="4"/>
  <c r="B261" i="4" s="1"/>
  <c r="B233" i="4"/>
  <c r="B134" i="4"/>
  <c r="B194" i="4"/>
  <c r="B187" i="4"/>
  <c r="B289" i="4"/>
  <c r="B312" i="4"/>
  <c r="B304" i="4"/>
  <c r="AT54" i="3"/>
  <c r="AL53" i="3" s="1"/>
  <c r="AT30" i="3"/>
  <c r="AL27" i="3" s="1"/>
  <c r="AT18" i="3"/>
  <c r="AL14" i="3" s="1"/>
  <c r="AT12" i="3"/>
  <c r="AT48" i="3"/>
  <c r="AL46" i="3" s="1"/>
  <c r="AT42" i="3"/>
  <c r="AL38" i="3" s="1"/>
  <c r="AT24" i="3"/>
  <c r="AL23" i="3" s="1"/>
  <c r="AT36" i="3"/>
  <c r="AL35" i="3" s="1"/>
  <c r="A677" i="4" l="1"/>
  <c r="A201" i="4"/>
  <c r="B278" i="4"/>
  <c r="B264" i="4"/>
  <c r="B126" i="4"/>
  <c r="B139" i="4"/>
  <c r="A221" i="4"/>
  <c r="A213" i="4"/>
  <c r="B196" i="4"/>
  <c r="B127" i="4"/>
  <c r="B206" i="4" s="1"/>
  <c r="B151" i="4"/>
  <c r="B148" i="4"/>
  <c r="A727" i="4"/>
  <c r="A725" i="4"/>
  <c r="B222" i="4"/>
  <c r="B242" i="4"/>
  <c r="B255" i="4" s="1"/>
  <c r="B293" i="4"/>
  <c r="B337" i="4"/>
  <c r="B321" i="4"/>
  <c r="B322" i="4" s="1"/>
  <c r="B324" i="4" s="1"/>
  <c r="B328" i="4" s="1"/>
  <c r="B332" i="4" s="1"/>
  <c r="AL16" i="3"/>
  <c r="AL52" i="3"/>
  <c r="AL50" i="3"/>
  <c r="AL51" i="3"/>
  <c r="AL28" i="3"/>
  <c r="AL17" i="3"/>
  <c r="AL15" i="3"/>
  <c r="AL21" i="3"/>
  <c r="AL22" i="3"/>
  <c r="AL29" i="3"/>
  <c r="AL33" i="3"/>
  <c r="AL20" i="3"/>
  <c r="AL26" i="3"/>
  <c r="AL40" i="3"/>
  <c r="AL11" i="3"/>
  <c r="AL10" i="3"/>
  <c r="AL8" i="3"/>
  <c r="AL34" i="3"/>
  <c r="AL41" i="3"/>
  <c r="AL47" i="3"/>
  <c r="AL32" i="3"/>
  <c r="AL9" i="3"/>
  <c r="AL45" i="3"/>
  <c r="AL39" i="3"/>
  <c r="AL44" i="3"/>
  <c r="A208" i="4" l="1"/>
  <c r="A218" i="4" s="1"/>
  <c r="A679" i="4"/>
  <c r="B137" i="4"/>
  <c r="B272" i="4"/>
  <c r="A237" i="4"/>
  <c r="A228" i="4"/>
  <c r="B311" i="4"/>
  <c r="B165" i="4"/>
  <c r="B201" i="4"/>
  <c r="B181" i="4"/>
  <c r="A735" i="4"/>
  <c r="A746" i="4" s="1"/>
  <c r="A733" i="4"/>
  <c r="B333" i="4"/>
  <c r="B341" i="4"/>
  <c r="B338" i="4"/>
  <c r="B351" i="4"/>
  <c r="B344" i="4"/>
  <c r="AL54" i="3"/>
  <c r="AN51" i="3" s="1"/>
  <c r="AL24" i="3"/>
  <c r="AN21" i="3" s="1"/>
  <c r="AL18" i="3"/>
  <c r="AN16" i="3" s="1"/>
  <c r="AL30" i="3"/>
  <c r="AN26" i="3" s="1"/>
  <c r="AL48" i="3"/>
  <c r="AN46" i="3" s="1"/>
  <c r="AL36" i="3"/>
  <c r="AN32" i="3" s="1"/>
  <c r="AL42" i="3"/>
  <c r="AN38" i="3" s="1"/>
  <c r="AL12" i="3"/>
  <c r="AN9" i="3" s="1"/>
  <c r="A235" i="4" l="1"/>
  <c r="A683" i="4"/>
  <c r="A684" i="4" s="1"/>
  <c r="B144" i="4"/>
  <c r="B195" i="4"/>
  <c r="A802" i="4"/>
  <c r="A804" i="4" s="1"/>
  <c r="A806" i="4" s="1"/>
  <c r="A252" i="4"/>
  <c r="A245" i="4"/>
  <c r="B202" i="4"/>
  <c r="B348" i="4"/>
  <c r="B213" i="4"/>
  <c r="B197" i="4"/>
  <c r="B199" i="4" s="1"/>
  <c r="B342" i="4"/>
  <c r="B354" i="4" s="1"/>
  <c r="B366" i="4"/>
  <c r="B356" i="4"/>
  <c r="AN15" i="3"/>
  <c r="AN14" i="3"/>
  <c r="AN52" i="3"/>
  <c r="AN53" i="3"/>
  <c r="AN50" i="3"/>
  <c r="AN23" i="3"/>
  <c r="AN20" i="3"/>
  <c r="AN22" i="3"/>
  <c r="AN8" i="3"/>
  <c r="AN10" i="3"/>
  <c r="AN17" i="3"/>
  <c r="AN47" i="3"/>
  <c r="AN29" i="3"/>
  <c r="AN27" i="3"/>
  <c r="AN28" i="3"/>
  <c r="AN45" i="3"/>
  <c r="AN44" i="3"/>
  <c r="AN41" i="3"/>
  <c r="AN33" i="3"/>
  <c r="AN35" i="3"/>
  <c r="AN11" i="3"/>
  <c r="AN39" i="3"/>
  <c r="AN40" i="3"/>
  <c r="AN34" i="3"/>
  <c r="A250" i="4" l="1"/>
  <c r="A266" i="4" s="1"/>
  <c r="B157" i="4"/>
  <c r="A282" i="4"/>
  <c r="A280" i="4"/>
  <c r="B228" i="4"/>
  <c r="B382" i="4"/>
  <c r="B365" i="4"/>
  <c r="B393" i="4"/>
  <c r="AA50" i="3"/>
  <c r="AA53" i="3"/>
  <c r="AA17" i="3"/>
  <c r="AA51" i="3"/>
  <c r="AA52" i="3"/>
  <c r="AA23" i="3"/>
  <c r="AA14" i="3"/>
  <c r="AA10" i="3"/>
  <c r="AA11" i="3"/>
  <c r="AA8" i="3"/>
  <c r="AA16" i="3"/>
  <c r="AA21" i="3"/>
  <c r="AA29" i="3"/>
  <c r="AA15" i="3"/>
  <c r="AA22" i="3"/>
  <c r="AA20" i="3"/>
  <c r="AA34" i="3"/>
  <c r="AA45" i="3"/>
  <c r="AA27" i="3"/>
  <c r="AA26" i="3"/>
  <c r="AA39" i="3"/>
  <c r="AA46" i="3"/>
  <c r="AA28" i="3"/>
  <c r="AA44" i="3"/>
  <c r="AA41" i="3"/>
  <c r="AA47" i="3"/>
  <c r="AA40" i="3"/>
  <c r="AA38" i="3"/>
  <c r="AA35" i="3"/>
  <c r="AA33" i="3"/>
  <c r="AA32" i="3"/>
  <c r="AA9" i="3"/>
  <c r="A277" i="4" l="1"/>
  <c r="A290" i="4" s="1"/>
  <c r="B189" i="4"/>
  <c r="B219" i="4" s="1"/>
  <c r="B173" i="4"/>
  <c r="A298" i="4"/>
  <c r="A296" i="4"/>
  <c r="B245" i="4"/>
  <c r="B380" i="4"/>
  <c r="B385" i="4"/>
  <c r="B390" i="4" s="1"/>
  <c r="B404" i="4"/>
  <c r="B395" i="4"/>
  <c r="L51" i="3"/>
  <c r="L52" i="3"/>
  <c r="J51" i="3"/>
  <c r="AO50" i="3" s="1"/>
  <c r="AZ38" i="3" s="1"/>
  <c r="S65" i="3" s="1"/>
  <c r="T65" i="3" s="1"/>
  <c r="BF37" i="3" s="1"/>
  <c r="M52" i="3"/>
  <c r="J52" i="3"/>
  <c r="AO51" i="3" s="1"/>
  <c r="AZ23" i="3" s="1"/>
  <c r="O51" i="3"/>
  <c r="N51" i="3"/>
  <c r="O21" i="3"/>
  <c r="M51" i="3"/>
  <c r="O16" i="3"/>
  <c r="L9" i="3"/>
  <c r="N16" i="3"/>
  <c r="N52" i="3"/>
  <c r="O52" i="3"/>
  <c r="M16" i="3"/>
  <c r="M45" i="3"/>
  <c r="O53" i="3"/>
  <c r="J16" i="3"/>
  <c r="AO15" i="3" s="1"/>
  <c r="AZ11" i="3" s="1"/>
  <c r="N53" i="3"/>
  <c r="L16" i="3"/>
  <c r="O54" i="3"/>
  <c r="J53" i="3"/>
  <c r="M54" i="3"/>
  <c r="N54" i="3"/>
  <c r="L54" i="3"/>
  <c r="J54" i="3"/>
  <c r="L53" i="3"/>
  <c r="M9" i="3"/>
  <c r="N9" i="3"/>
  <c r="O9" i="3"/>
  <c r="M53" i="3"/>
  <c r="O17" i="3"/>
  <c r="L12" i="3"/>
  <c r="N45" i="3"/>
  <c r="J45" i="3"/>
  <c r="AO44" i="3" s="1"/>
  <c r="AZ22" i="3" s="1"/>
  <c r="M18" i="3"/>
  <c r="N18" i="3"/>
  <c r="L46" i="3"/>
  <c r="J15" i="3"/>
  <c r="AO14" i="3" s="1"/>
  <c r="AZ26" i="3" s="1"/>
  <c r="L17" i="3"/>
  <c r="L18" i="3"/>
  <c r="M17" i="3"/>
  <c r="N15" i="3"/>
  <c r="L45" i="3"/>
  <c r="L15" i="3"/>
  <c r="O15" i="3"/>
  <c r="O48" i="3"/>
  <c r="N17" i="3"/>
  <c r="O46" i="3"/>
  <c r="J17" i="3"/>
  <c r="O18" i="3"/>
  <c r="M15" i="3"/>
  <c r="J9" i="3"/>
  <c r="AO8" i="3" s="1"/>
  <c r="AZ10" i="3" s="1"/>
  <c r="M47" i="3"/>
  <c r="J18" i="3"/>
  <c r="N21" i="3"/>
  <c r="J24" i="3"/>
  <c r="O24" i="3"/>
  <c r="M23" i="3"/>
  <c r="N23" i="3"/>
  <c r="N48" i="3"/>
  <c r="O23" i="3"/>
  <c r="O27" i="3"/>
  <c r="J47" i="3"/>
  <c r="M46" i="3"/>
  <c r="N46" i="3"/>
  <c r="O45" i="3"/>
  <c r="M22" i="3"/>
  <c r="N22" i="3"/>
  <c r="M21" i="3"/>
  <c r="N24" i="3"/>
  <c r="L22" i="3"/>
  <c r="J23" i="3"/>
  <c r="L24" i="3"/>
  <c r="L23" i="3"/>
  <c r="J22" i="3"/>
  <c r="AO21" i="3" s="1"/>
  <c r="AZ31" i="3" s="1"/>
  <c r="J21" i="3"/>
  <c r="AO20" i="3" s="1"/>
  <c r="AZ14" i="3" s="1"/>
  <c r="O22" i="3"/>
  <c r="L21" i="3"/>
  <c r="M24" i="3"/>
  <c r="J46" i="3"/>
  <c r="AO45" i="3" s="1"/>
  <c r="AZ39" i="3" s="1"/>
  <c r="L47" i="3"/>
  <c r="J27" i="3"/>
  <c r="AO26" i="3" s="1"/>
  <c r="AZ30" i="3" s="1"/>
  <c r="M27" i="3"/>
  <c r="L30" i="3"/>
  <c r="N27" i="3"/>
  <c r="M28" i="3"/>
  <c r="O47" i="3"/>
  <c r="J28" i="3"/>
  <c r="AO27" i="3" s="1"/>
  <c r="AZ15" i="3" s="1"/>
  <c r="L28" i="3"/>
  <c r="L27" i="3"/>
  <c r="L29" i="3"/>
  <c r="N28" i="3"/>
  <c r="M29" i="3"/>
  <c r="O28" i="3"/>
  <c r="J29" i="3"/>
  <c r="L48" i="3"/>
  <c r="J48" i="3"/>
  <c r="M48" i="3"/>
  <c r="O29" i="3"/>
  <c r="N30" i="3"/>
  <c r="J30" i="3"/>
  <c r="O30" i="3"/>
  <c r="N47" i="3"/>
  <c r="N29" i="3"/>
  <c r="M30" i="3"/>
  <c r="O36" i="3"/>
  <c r="J34" i="3"/>
  <c r="AO33" i="3" s="1"/>
  <c r="AZ35" i="3" s="1"/>
  <c r="M36" i="3"/>
  <c r="L36" i="3"/>
  <c r="J35" i="3"/>
  <c r="O34" i="3"/>
  <c r="O33" i="3"/>
  <c r="N34" i="3"/>
  <c r="N33" i="3"/>
  <c r="J36" i="3"/>
  <c r="M34" i="3"/>
  <c r="M33" i="3"/>
  <c r="O35" i="3"/>
  <c r="N35" i="3"/>
  <c r="N36" i="3"/>
  <c r="L35" i="3"/>
  <c r="L34" i="3"/>
  <c r="M35" i="3"/>
  <c r="L33" i="3"/>
  <c r="J33" i="3"/>
  <c r="AO32" i="3" s="1"/>
  <c r="AZ18" i="3" s="1"/>
  <c r="O10" i="3"/>
  <c r="M42" i="3"/>
  <c r="M41" i="3"/>
  <c r="M40" i="3"/>
  <c r="M39" i="3"/>
  <c r="O41" i="3"/>
  <c r="L40" i="3"/>
  <c r="L39" i="3"/>
  <c r="O42" i="3"/>
  <c r="N41" i="3"/>
  <c r="J40" i="3"/>
  <c r="AO39" i="3" s="1"/>
  <c r="AZ19" i="3" s="1"/>
  <c r="J39" i="3"/>
  <c r="AO38" i="3" s="1"/>
  <c r="AZ34" i="3" s="1"/>
  <c r="N42" i="3"/>
  <c r="L41" i="3"/>
  <c r="L42" i="3"/>
  <c r="J41" i="3"/>
  <c r="J42" i="3"/>
  <c r="N40" i="3"/>
  <c r="N39" i="3"/>
  <c r="O40" i="3"/>
  <c r="O39" i="3"/>
  <c r="M10" i="3"/>
  <c r="M12" i="3"/>
  <c r="N12" i="3"/>
  <c r="J10" i="3"/>
  <c r="AO9" i="3" s="1"/>
  <c r="AZ27" i="3" s="1"/>
  <c r="J11" i="3"/>
  <c r="N11" i="3"/>
  <c r="N10" i="3"/>
  <c r="L10" i="3"/>
  <c r="O12" i="3"/>
  <c r="O11" i="3"/>
  <c r="M11" i="3"/>
  <c r="L11" i="3"/>
  <c r="J12" i="3"/>
  <c r="A307" i="4" l="1"/>
  <c r="B235" i="4"/>
  <c r="B280" i="4"/>
  <c r="B277" i="4"/>
  <c r="A314" i="4"/>
  <c r="A329" i="4" s="1"/>
  <c r="A336" i="4" s="1"/>
  <c r="A313" i="4"/>
  <c r="B296" i="4"/>
  <c r="B402" i="4"/>
  <c r="B407" i="4"/>
  <c r="S64" i="3"/>
  <c r="T64" i="3" s="1"/>
  <c r="BF36" i="3" s="1"/>
  <c r="P52" i="3"/>
  <c r="K52" i="3"/>
  <c r="P51" i="3"/>
  <c r="K51" i="3"/>
  <c r="P16" i="3"/>
  <c r="P9" i="3"/>
  <c r="K16" i="3"/>
  <c r="P54" i="3"/>
  <c r="P45" i="3"/>
  <c r="K54" i="3"/>
  <c r="K9" i="3"/>
  <c r="P46" i="3"/>
  <c r="K18" i="3"/>
  <c r="P53" i="3"/>
  <c r="K53" i="3"/>
  <c r="K45" i="3"/>
  <c r="P15" i="3"/>
  <c r="P18" i="3"/>
  <c r="P47" i="3"/>
  <c r="K46" i="3"/>
  <c r="K15" i="3"/>
  <c r="P17" i="3"/>
  <c r="K48" i="3"/>
  <c r="K17" i="3"/>
  <c r="K47" i="3"/>
  <c r="K22" i="3"/>
  <c r="P22" i="3"/>
  <c r="P21" i="3"/>
  <c r="K21" i="3"/>
  <c r="P29" i="3"/>
  <c r="P23" i="3"/>
  <c r="K23" i="3"/>
  <c r="K30" i="3"/>
  <c r="P28" i="3"/>
  <c r="P24" i="3"/>
  <c r="K24" i="3"/>
  <c r="K28" i="3"/>
  <c r="P48" i="3"/>
  <c r="K27" i="3"/>
  <c r="K29" i="3"/>
  <c r="P27" i="3"/>
  <c r="P30" i="3"/>
  <c r="K12" i="3"/>
  <c r="K10" i="3"/>
  <c r="P10" i="3"/>
  <c r="K39" i="3"/>
  <c r="P39" i="3"/>
  <c r="K36" i="3"/>
  <c r="P36" i="3"/>
  <c r="K42" i="3"/>
  <c r="P42" i="3"/>
  <c r="K40" i="3"/>
  <c r="P40" i="3"/>
  <c r="P33" i="3"/>
  <c r="K33" i="3"/>
  <c r="K41" i="3"/>
  <c r="P41" i="3"/>
  <c r="P34" i="3"/>
  <c r="K34" i="3"/>
  <c r="K35" i="3"/>
  <c r="P35" i="3"/>
  <c r="P12" i="3"/>
  <c r="P11" i="3"/>
  <c r="K11" i="3"/>
  <c r="B251" i="4" l="1"/>
  <c r="B266" i="4"/>
  <c r="B275" i="4" s="1"/>
  <c r="B263" i="4"/>
  <c r="B291" i="4"/>
  <c r="A347" i="4"/>
  <c r="A346" i="4"/>
  <c r="B313" i="4"/>
  <c r="B417" i="4"/>
  <c r="B427" i="4"/>
  <c r="B420" i="4"/>
  <c r="B292" i="4" l="1"/>
  <c r="B306" i="4"/>
  <c r="A363" i="4"/>
  <c r="A358" i="4"/>
  <c r="B346" i="4"/>
  <c r="B350" i="4" s="1"/>
  <c r="B440" i="4"/>
  <c r="B433" i="4"/>
  <c r="B334" i="4" l="1"/>
  <c r="B339" i="4" s="1"/>
  <c r="B353" i="4" s="1"/>
  <c r="B439" i="4"/>
  <c r="B310" i="4"/>
  <c r="A372" i="4"/>
  <c r="B358" i="4"/>
  <c r="B449" i="4"/>
  <c r="B445" i="4"/>
  <c r="A383" i="4" l="1"/>
  <c r="A375" i="4"/>
  <c r="A376" i="4" s="1"/>
  <c r="A378" i="4" s="1"/>
  <c r="A382" i="4" s="1"/>
  <c r="B372" i="4"/>
  <c r="B359" i="4"/>
  <c r="A393" i="4"/>
  <c r="A403" i="4" s="1"/>
  <c r="A392" i="4"/>
  <c r="B456" i="4"/>
  <c r="B392" i="4"/>
  <c r="B471" i="4"/>
  <c r="B461" i="4"/>
  <c r="A413" i="4" l="1"/>
  <c r="A405" i="4"/>
  <c r="A391" i="4"/>
  <c r="B370" i="4"/>
  <c r="B362" i="4"/>
  <c r="B397" i="4"/>
  <c r="B389" i="4"/>
  <c r="A430" i="4"/>
  <c r="A416" i="4"/>
  <c r="B403" i="4"/>
  <c r="B410" i="4" s="1"/>
  <c r="B489" i="4"/>
  <c r="B475" i="4"/>
  <c r="B482" i="4" s="1"/>
  <c r="A434" i="4" l="1"/>
  <c r="A417" i="4"/>
  <c r="A431" i="4" s="1"/>
  <c r="B369" i="4"/>
  <c r="B493" i="4"/>
  <c r="A458" i="4"/>
  <c r="A451" i="4"/>
  <c r="B416" i="4"/>
  <c r="B464" i="4"/>
  <c r="B504" i="4"/>
  <c r="B513" i="4" s="1"/>
  <c r="B500" i="4"/>
  <c r="A444" i="4" l="1"/>
  <c r="A447" i="4" s="1"/>
  <c r="A435" i="4"/>
  <c r="B374" i="4"/>
  <c r="B451" i="4"/>
  <c r="B422" i="4"/>
  <c r="A475" i="4"/>
  <c r="A464" i="4"/>
  <c r="B515" i="4"/>
  <c r="A474" i="4" l="1"/>
  <c r="A460" i="4"/>
  <c r="A469" i="4" s="1"/>
  <c r="B527" i="4"/>
  <c r="B377" i="4"/>
  <c r="B655" i="4"/>
  <c r="B531" i="4"/>
  <c r="A483" i="4" l="1"/>
  <c r="B381" i="4"/>
  <c r="B533" i="4"/>
  <c r="B546" i="4"/>
  <c r="B545" i="4"/>
  <c r="B667" i="4"/>
  <c r="B657" i="4"/>
  <c r="B661" i="4" s="1"/>
  <c r="A787" i="4" l="1"/>
  <c r="A491" i="4"/>
  <c r="A495" i="4" s="1"/>
  <c r="A510" i="4" s="1"/>
  <c r="A522" i="4" s="1"/>
  <c r="B387" i="4"/>
  <c r="B554" i="4"/>
  <c r="B553" i="4"/>
  <c r="B671" i="4"/>
  <c r="B669" i="4"/>
  <c r="A651" i="4" l="1"/>
  <c r="A653" i="4" s="1"/>
  <c r="A661" i="4" s="1"/>
  <c r="A673" i="4" s="1"/>
  <c r="A676" i="4" s="1"/>
  <c r="A678" i="4" s="1"/>
  <c r="A680" i="4" s="1"/>
  <c r="A685" i="4" s="1"/>
  <c r="A695" i="4" s="1"/>
  <c r="A707" i="4" s="1"/>
  <c r="A713" i="4" s="1"/>
  <c r="A716" i="4" s="1"/>
  <c r="A728" i="4" s="1"/>
  <c r="A732" i="4" s="1"/>
  <c r="A749" i="4" s="1"/>
  <c r="A751" i="4" s="1"/>
  <c r="A589" i="4"/>
  <c r="A597" i="4" s="1"/>
  <c r="A603" i="4" s="1"/>
  <c r="A627" i="4" s="1"/>
  <c r="A635" i="4" s="1"/>
  <c r="A641" i="4" s="1"/>
  <c r="A760" i="4"/>
  <c r="A795" i="4"/>
  <c r="B401" i="4"/>
  <c r="B414" i="4" s="1"/>
  <c r="B425" i="4"/>
  <c r="B426" i="4" s="1"/>
  <c r="B428" i="4" s="1"/>
  <c r="B430" i="4" s="1"/>
  <c r="B431" i="4" s="1"/>
  <c r="B438" i="4" s="1"/>
  <c r="B450" i="4" s="1"/>
  <c r="B465" i="4" s="1"/>
  <c r="B562" i="4"/>
  <c r="B560" i="4"/>
  <c r="B786" i="4"/>
  <c r="B689" i="4"/>
  <c r="A752" i="4" l="1"/>
  <c r="A761" i="4" s="1"/>
  <c r="B569" i="4"/>
  <c r="B572" i="4" s="1"/>
  <c r="B697" i="4"/>
  <c r="B474" i="4"/>
  <c r="B486" i="4" s="1"/>
  <c r="B490" i="4" s="1"/>
  <c r="B501" i="4" s="1"/>
  <c r="B516" i="4" s="1"/>
  <c r="B721" i="4"/>
  <c r="B719" i="4"/>
  <c r="B787" i="4"/>
  <c r="B793" i="4"/>
  <c r="B792" i="4"/>
  <c r="A767" i="4" l="1"/>
  <c r="A781" i="4" s="1"/>
  <c r="A785" i="4" s="1"/>
  <c r="B705" i="4"/>
  <c r="B708" i="4" s="1"/>
  <c r="B710" i="4" s="1"/>
  <c r="B713" i="4" s="1"/>
  <c r="B532" i="4"/>
  <c r="B536" i="4" s="1"/>
  <c r="B529" i="4"/>
  <c r="B530" i="4" s="1"/>
  <c r="B729" i="4"/>
  <c r="B727" i="4"/>
  <c r="B795" i="4"/>
  <c r="B839" i="4"/>
  <c r="B851" i="4" s="1"/>
  <c r="B800" i="4"/>
  <c r="B801" i="4" s="1"/>
  <c r="B804" i="4" s="1"/>
  <c r="B805" i="4" s="1"/>
  <c r="B812" i="4" s="1"/>
  <c r="B818" i="4" s="1"/>
  <c r="B823" i="4" s="1"/>
  <c r="B825" i="4" s="1"/>
  <c r="B826" i="4" s="1"/>
  <c r="B828" i="4" s="1"/>
  <c r="B832" i="4" s="1"/>
  <c r="B836" i="4" s="1"/>
  <c r="A793" i="4" l="1"/>
  <c r="A810" i="4" s="1"/>
  <c r="B541" i="4"/>
  <c r="B540" i="4"/>
  <c r="B737" i="4"/>
  <c r="B740" i="4"/>
  <c r="B743" i="4" s="1"/>
  <c r="B745" i="4" s="1"/>
  <c r="B751" i="4" s="1"/>
  <c r="B739" i="4"/>
  <c r="B864" i="4"/>
  <c r="B858" i="4"/>
  <c r="A815" i="4" l="1"/>
  <c r="A820" i="4" s="1"/>
  <c r="A814" i="4"/>
  <c r="B761" i="4"/>
  <c r="B550" i="4"/>
  <c r="B875" i="4"/>
  <c r="B865" i="4"/>
  <c r="A846" i="4" l="1"/>
  <c r="A849" i="4" s="1"/>
  <c r="A858" i="4" s="1"/>
  <c r="A821" i="4"/>
  <c r="G113" i="5" s="1"/>
  <c r="B874" i="4"/>
  <c r="B565" i="4"/>
  <c r="B558" i="4"/>
  <c r="B768" i="4"/>
  <c r="P22" i="5"/>
  <c r="J22" i="5"/>
  <c r="N22" i="5"/>
  <c r="O22" i="5"/>
  <c r="L22" i="5"/>
  <c r="K22" i="5"/>
  <c r="P23" i="5"/>
  <c r="M22" i="5"/>
  <c r="O23" i="5"/>
  <c r="L23" i="5"/>
  <c r="J23" i="5"/>
  <c r="P44" i="5"/>
  <c r="C37" i="5"/>
  <c r="N33" i="5"/>
  <c r="K42" i="5"/>
  <c r="K38" i="5"/>
  <c r="O36" i="5"/>
  <c r="O58" i="5"/>
  <c r="M34" i="5"/>
  <c r="N56" i="5"/>
  <c r="O37" i="5"/>
  <c r="O61" i="5"/>
  <c r="N60" i="5"/>
  <c r="J62" i="5"/>
  <c r="K68" i="5"/>
  <c r="N53" i="5"/>
  <c r="K61" i="5"/>
  <c r="L70" i="5"/>
  <c r="N52" i="5"/>
  <c r="L58" i="5"/>
  <c r="J72" i="5"/>
  <c r="M47" i="5"/>
  <c r="N66" i="5"/>
  <c r="P47" i="5"/>
  <c r="M54" i="5"/>
  <c r="J35" i="5"/>
  <c r="J52" i="5"/>
  <c r="L36" i="5"/>
  <c r="L42" i="5"/>
  <c r="O73" i="5"/>
  <c r="P41" i="5"/>
  <c r="M56" i="5"/>
  <c r="N23" i="5"/>
  <c r="F37" i="5"/>
  <c r="L61" i="5"/>
  <c r="O45" i="5"/>
  <c r="O51" i="5"/>
  <c r="G31" i="5"/>
  <c r="M37" i="5"/>
  <c r="P61" i="5"/>
  <c r="G97" i="5"/>
  <c r="N69" i="5"/>
  <c r="P63" i="5"/>
  <c r="P32" i="5"/>
  <c r="M48" i="5"/>
  <c r="N73" i="5"/>
  <c r="N70" i="5"/>
  <c r="P66" i="5"/>
  <c r="K72" i="5"/>
  <c r="J38" i="5"/>
  <c r="L62" i="5"/>
  <c r="F36" i="5"/>
  <c r="P58" i="5"/>
  <c r="P64" i="5"/>
  <c r="J28" i="5"/>
  <c r="K57" i="5"/>
  <c r="D34" i="5"/>
  <c r="L52" i="5"/>
  <c r="K28" i="5"/>
  <c r="O24" i="5"/>
  <c r="M25" i="5"/>
  <c r="J30" i="5"/>
  <c r="O68" i="5"/>
  <c r="G72" i="5"/>
  <c r="K52" i="5"/>
  <c r="M23" i="5"/>
  <c r="J73" i="5"/>
  <c r="L45" i="5"/>
  <c r="N67" i="5"/>
  <c r="P43" i="5"/>
  <c r="O27" i="5"/>
  <c r="P67" i="5"/>
  <c r="L46" i="5"/>
  <c r="J64" i="5"/>
  <c r="P72" i="5"/>
  <c r="M52" i="5"/>
  <c r="N39" i="5"/>
  <c r="L47" i="5"/>
  <c r="M51" i="5"/>
  <c r="O74" i="5"/>
  <c r="L75" i="5"/>
  <c r="M58" i="5"/>
  <c r="L63" i="5"/>
  <c r="M36" i="5"/>
  <c r="F66" i="5"/>
  <c r="N72" i="5"/>
  <c r="P59" i="5"/>
  <c r="G69" i="5"/>
  <c r="N31" i="5"/>
  <c r="N74" i="5"/>
  <c r="M26" i="5"/>
  <c r="B95" i="5"/>
  <c r="N58" i="5"/>
  <c r="N37" i="5"/>
  <c r="O53" i="5"/>
  <c r="P25" i="5"/>
  <c r="K48" i="5"/>
  <c r="P70" i="5"/>
  <c r="O76" i="5"/>
  <c r="O71" i="5"/>
  <c r="J71" i="5"/>
  <c r="P69" i="5"/>
  <c r="K70" i="5"/>
  <c r="K36" i="5"/>
  <c r="D32" i="5"/>
  <c r="M65" i="5"/>
  <c r="L24" i="5"/>
  <c r="L31" i="5"/>
  <c r="L69" i="5"/>
  <c r="M35" i="5"/>
  <c r="L32" i="5"/>
  <c r="O44" i="5"/>
  <c r="J56" i="5"/>
  <c r="L38" i="5"/>
  <c r="M50" i="5"/>
  <c r="J48" i="5"/>
  <c r="P60" i="5"/>
  <c r="O55" i="5"/>
  <c r="P37" i="5"/>
  <c r="O59" i="5"/>
  <c r="M29" i="5"/>
  <c r="K59" i="5"/>
  <c r="O49" i="5"/>
  <c r="N49" i="5"/>
  <c r="K24" i="5"/>
  <c r="O43" i="5"/>
  <c r="J59" i="5"/>
  <c r="O26" i="5"/>
  <c r="J75" i="5"/>
  <c r="P51" i="5"/>
  <c r="M68" i="5"/>
  <c r="H32" i="5"/>
  <c r="P26" i="5"/>
  <c r="J53" i="5"/>
  <c r="K41" i="5"/>
  <c r="G60" i="5"/>
  <c r="O39" i="5"/>
  <c r="L53" i="5"/>
  <c r="M46" i="5"/>
  <c r="E59" i="5"/>
  <c r="J47" i="5"/>
  <c r="L57" i="5"/>
  <c r="K67" i="5"/>
  <c r="K32" i="5"/>
  <c r="L33" i="5"/>
  <c r="P24" i="5"/>
  <c r="K58" i="5"/>
  <c r="J43" i="5"/>
  <c r="O38" i="5"/>
  <c r="O54" i="5"/>
  <c r="J55" i="5"/>
  <c r="J33" i="5"/>
  <c r="O30" i="5"/>
  <c r="N26" i="5"/>
  <c r="P71" i="5"/>
  <c r="L29" i="5"/>
  <c r="O57" i="5"/>
  <c r="K75" i="5"/>
  <c r="O63" i="5"/>
  <c r="K45" i="5"/>
  <c r="P27" i="5"/>
  <c r="L50" i="5"/>
  <c r="K63" i="5"/>
  <c r="N65" i="5"/>
  <c r="B35" i="5"/>
  <c r="J40" i="5"/>
  <c r="N64" i="5"/>
  <c r="N38" i="5"/>
  <c r="N75" i="5"/>
  <c r="L28" i="5"/>
  <c r="O33" i="5"/>
  <c r="M55" i="5"/>
  <c r="L72" i="5"/>
  <c r="L27" i="5"/>
  <c r="N57" i="5"/>
  <c r="P38" i="5"/>
  <c r="M28" i="5"/>
  <c r="P75" i="5"/>
  <c r="N25" i="5"/>
  <c r="O75" i="5"/>
  <c r="N40" i="5"/>
  <c r="J58" i="5"/>
  <c r="O70" i="5"/>
  <c r="M59" i="5"/>
  <c r="L48" i="5"/>
  <c r="M69" i="5"/>
  <c r="N50" i="5"/>
  <c r="P40" i="5"/>
  <c r="N47" i="5"/>
  <c r="L68" i="5"/>
  <c r="J32" i="5"/>
  <c r="P50" i="5"/>
  <c r="O25" i="5"/>
  <c r="N32" i="5"/>
  <c r="D115" i="5"/>
  <c r="K62" i="5"/>
  <c r="J27" i="5"/>
  <c r="J36" i="5"/>
  <c r="D106" i="5"/>
  <c r="N51" i="5"/>
  <c r="K71" i="5"/>
  <c r="M31" i="5"/>
  <c r="H100" i="5"/>
  <c r="M71" i="5"/>
  <c r="P48" i="5"/>
  <c r="M73" i="5"/>
  <c r="N36" i="5"/>
  <c r="K39" i="5"/>
  <c r="J66" i="5"/>
  <c r="M72" i="5"/>
  <c r="H38" i="5"/>
  <c r="K50" i="5"/>
  <c r="K49" i="5"/>
  <c r="C50" i="5"/>
  <c r="J39" i="5"/>
  <c r="K51" i="5"/>
  <c r="J70" i="5"/>
  <c r="K23" i="5"/>
  <c r="O65" i="5"/>
  <c r="N24" i="5"/>
  <c r="M67" i="5"/>
  <c r="L54" i="5"/>
  <c r="M66" i="5"/>
  <c r="C33" i="5"/>
  <c r="M43" i="5"/>
  <c r="N68" i="5"/>
  <c r="J31" i="5"/>
  <c r="B37" i="5"/>
  <c r="F32" i="5"/>
  <c r="F63" i="5"/>
  <c r="P57" i="5"/>
  <c r="L74" i="5"/>
  <c r="J74" i="5"/>
  <c r="J29" i="5"/>
  <c r="M49" i="5"/>
  <c r="K65" i="5"/>
  <c r="M39" i="5"/>
  <c r="K56" i="5"/>
  <c r="M62" i="5"/>
  <c r="M57" i="5"/>
  <c r="P45" i="5"/>
  <c r="H35" i="5"/>
  <c r="K29" i="5"/>
  <c r="J60" i="5"/>
  <c r="M33" i="5"/>
  <c r="J51" i="5"/>
  <c r="M60" i="5"/>
  <c r="J26" i="5"/>
  <c r="N34" i="5"/>
  <c r="L64" i="5"/>
  <c r="P36" i="5"/>
  <c r="L73" i="5"/>
  <c r="K43" i="5"/>
  <c r="K35" i="5"/>
  <c r="J25" i="5"/>
  <c r="P76" i="5"/>
  <c r="L49" i="5"/>
  <c r="P33" i="5"/>
  <c r="L41" i="5"/>
  <c r="L26" i="5"/>
  <c r="K47" i="5"/>
  <c r="K44" i="5"/>
  <c r="M74" i="5"/>
  <c r="N48" i="5"/>
  <c r="J54" i="5"/>
  <c r="E37" i="5"/>
  <c r="M45" i="5"/>
  <c r="P29" i="5"/>
  <c r="P46" i="5"/>
  <c r="O46" i="5"/>
  <c r="P42" i="5"/>
  <c r="J68" i="5"/>
  <c r="D116" i="5"/>
  <c r="O67" i="5"/>
  <c r="J34" i="5"/>
  <c r="P56" i="5"/>
  <c r="M61" i="5"/>
  <c r="J24" i="5"/>
  <c r="L60" i="5"/>
  <c r="P52" i="5"/>
  <c r="K37" i="5"/>
  <c r="J45" i="5"/>
  <c r="M70" i="5"/>
  <c r="O52" i="5"/>
  <c r="J61" i="5"/>
  <c r="M27" i="5"/>
  <c r="E32" i="5"/>
  <c r="C52" i="5"/>
  <c r="M32" i="5"/>
  <c r="C109" i="5"/>
  <c r="D37" i="5"/>
  <c r="F31" i="5"/>
  <c r="H109" i="5"/>
  <c r="G35" i="5"/>
  <c r="D33" i="5"/>
  <c r="P54" i="5"/>
  <c r="L34" i="5"/>
  <c r="E33" i="5"/>
  <c r="K27" i="5"/>
  <c r="K31" i="5"/>
  <c r="O35" i="5"/>
  <c r="P31" i="5"/>
  <c r="N43" i="5"/>
  <c r="J49" i="5"/>
  <c r="M53" i="5"/>
  <c r="N44" i="5"/>
  <c r="M38" i="5"/>
  <c r="N45" i="5"/>
  <c r="J37" i="5"/>
  <c r="P30" i="5"/>
  <c r="M76" i="5"/>
  <c r="L76" i="5"/>
  <c r="P34" i="5"/>
  <c r="J67" i="5"/>
  <c r="M24" i="5"/>
  <c r="J42" i="5"/>
  <c r="K30" i="5"/>
  <c r="L40" i="5"/>
  <c r="M41" i="5"/>
  <c r="L35" i="5"/>
  <c r="E41" i="5"/>
  <c r="J63" i="5"/>
  <c r="L59" i="5"/>
  <c r="G33" i="5"/>
  <c r="G37" i="5"/>
  <c r="M30" i="5"/>
  <c r="K53" i="5"/>
  <c r="G62" i="5"/>
  <c r="G36" i="5"/>
  <c r="D31" i="5"/>
  <c r="G41" i="5"/>
  <c r="O42" i="5"/>
  <c r="P68" i="5"/>
  <c r="O34" i="5"/>
  <c r="L71" i="5"/>
  <c r="N71" i="5"/>
  <c r="N54" i="5"/>
  <c r="K33" i="5"/>
  <c r="N27" i="5"/>
  <c r="P49" i="5"/>
  <c r="K76" i="5"/>
  <c r="M40" i="5"/>
  <c r="J69" i="5"/>
  <c r="O48" i="5"/>
  <c r="O40" i="5"/>
  <c r="J41" i="5"/>
  <c r="J76" i="5"/>
  <c r="K54" i="5"/>
  <c r="K64" i="5"/>
  <c r="K40" i="5"/>
  <c r="L44" i="5"/>
  <c r="K60" i="5"/>
  <c r="L30" i="5"/>
  <c r="L56" i="5"/>
  <c r="M42" i="5"/>
  <c r="B36" i="5"/>
  <c r="C32" i="5"/>
  <c r="K55" i="5"/>
  <c r="N59" i="5"/>
  <c r="P35" i="5"/>
  <c r="O41" i="5"/>
  <c r="N76" i="5"/>
  <c r="O60" i="5"/>
  <c r="J57" i="5"/>
  <c r="O47" i="5"/>
  <c r="N62" i="5"/>
  <c r="O62" i="5"/>
  <c r="N42" i="5"/>
  <c r="P65" i="5"/>
  <c r="F60" i="5"/>
  <c r="K46" i="5"/>
  <c r="D36" i="5"/>
  <c r="C106" i="5"/>
  <c r="H139" i="5"/>
  <c r="P53" i="5"/>
  <c r="L51" i="5"/>
  <c r="N28" i="5"/>
  <c r="M64" i="5"/>
  <c r="N55" i="5"/>
  <c r="J46" i="5"/>
  <c r="P39" i="5"/>
  <c r="L25" i="5"/>
  <c r="H31" i="5"/>
  <c r="O69" i="5"/>
  <c r="N46" i="5"/>
  <c r="O32" i="5"/>
  <c r="M63" i="5"/>
  <c r="B114" i="5"/>
  <c r="C31" i="5"/>
  <c r="H34" i="5"/>
  <c r="H126" i="5"/>
  <c r="P62" i="5"/>
  <c r="J44" i="5"/>
  <c r="N63" i="5"/>
  <c r="O56" i="5"/>
  <c r="O66" i="5"/>
  <c r="F56" i="5"/>
  <c r="F98" i="5"/>
  <c r="B129" i="5"/>
  <c r="O28" i="5"/>
  <c r="N41" i="5"/>
  <c r="K69" i="5"/>
  <c r="P55" i="5"/>
  <c r="K34" i="5"/>
  <c r="L37" i="5"/>
  <c r="H51" i="5"/>
  <c r="C56" i="5"/>
  <c r="P73" i="5"/>
  <c r="P74" i="5"/>
  <c r="N30" i="5"/>
  <c r="D79" i="5"/>
  <c r="B113" i="5"/>
  <c r="B34" i="5"/>
  <c r="F131" i="5"/>
  <c r="E34" i="5"/>
  <c r="D53" i="5"/>
  <c r="B141" i="5"/>
  <c r="C36" i="5"/>
  <c r="M44" i="5"/>
  <c r="H103" i="5"/>
  <c r="J65" i="5"/>
  <c r="N35" i="5"/>
  <c r="K26" i="5"/>
  <c r="K66" i="5"/>
  <c r="K25" i="5"/>
  <c r="K74" i="5"/>
  <c r="C132" i="5"/>
  <c r="H36" i="5"/>
  <c r="E35" i="5"/>
  <c r="C34" i="5"/>
  <c r="B33" i="5"/>
  <c r="M75" i="5"/>
  <c r="L43" i="5"/>
  <c r="J50" i="5"/>
  <c r="L67" i="5"/>
  <c r="P28" i="5"/>
  <c r="O31" i="5"/>
  <c r="O50" i="5"/>
  <c r="E116" i="5"/>
  <c r="C57" i="5"/>
  <c r="B49" i="5"/>
  <c r="O64" i="5"/>
  <c r="L65" i="5"/>
  <c r="D45" i="5"/>
  <c r="D122" i="5"/>
  <c r="F41" i="5"/>
  <c r="H74" i="5"/>
  <c r="H76" i="5"/>
  <c r="F35" i="5"/>
  <c r="C77" i="5"/>
  <c r="D88" i="5"/>
  <c r="F34" i="5"/>
  <c r="F121" i="5"/>
  <c r="F33" i="5"/>
  <c r="E76" i="5"/>
  <c r="C127" i="5"/>
  <c r="L39" i="5"/>
  <c r="G42" i="5"/>
  <c r="G77" i="5"/>
  <c r="H41" i="5"/>
  <c r="C40" i="5"/>
  <c r="G32" i="5"/>
  <c r="F133" i="5"/>
  <c r="H116" i="5"/>
  <c r="L66" i="5"/>
  <c r="O72" i="5"/>
  <c r="B31" i="5"/>
  <c r="E31" i="5"/>
  <c r="H124" i="5"/>
  <c r="C83" i="5"/>
  <c r="H37" i="5"/>
  <c r="E126" i="5"/>
  <c r="F67" i="5"/>
  <c r="H33" i="5"/>
  <c r="G59" i="5"/>
  <c r="C35" i="5"/>
  <c r="L55" i="5"/>
  <c r="B41" i="5"/>
  <c r="H73" i="5"/>
  <c r="F137" i="5"/>
  <c r="K73" i="5"/>
  <c r="C70" i="5"/>
  <c r="D126" i="5"/>
  <c r="E36" i="5"/>
  <c r="E136" i="5"/>
  <c r="D84" i="5"/>
  <c r="O29" i="5"/>
  <c r="N29" i="5"/>
  <c r="D77" i="5"/>
  <c r="D65" i="5"/>
  <c r="G86" i="5"/>
  <c r="N61" i="5"/>
  <c r="D47" i="5"/>
  <c r="E54" i="5"/>
  <c r="D35" i="5"/>
  <c r="G48" i="5"/>
  <c r="B32" i="5"/>
  <c r="C94" i="5"/>
  <c r="D129" i="5"/>
  <c r="G85" i="5"/>
  <c r="E86" i="5"/>
  <c r="G34" i="5"/>
  <c r="E90" i="5"/>
  <c r="H39" i="5"/>
  <c r="C110" i="5"/>
  <c r="G110" i="5"/>
  <c r="D43" i="5"/>
  <c r="F72" i="5" l="1"/>
  <c r="E50" i="5"/>
  <c r="B96" i="5"/>
  <c r="F80" i="5"/>
  <c r="G52" i="5"/>
  <c r="F106" i="5"/>
  <c r="E78" i="5"/>
  <c r="B72" i="5"/>
  <c r="B101" i="5"/>
  <c r="F90" i="5"/>
  <c r="E115" i="5"/>
  <c r="B42" i="5"/>
  <c r="D97" i="5"/>
  <c r="C129" i="5"/>
  <c r="C118" i="5"/>
  <c r="H77" i="5"/>
  <c r="D39" i="5"/>
  <c r="H107" i="5"/>
  <c r="B65" i="5"/>
  <c r="D44" i="5"/>
  <c r="D80" i="5"/>
  <c r="E119" i="5"/>
  <c r="G73" i="5"/>
  <c r="D51" i="5"/>
  <c r="D99" i="5"/>
  <c r="D107" i="5"/>
  <c r="E39" i="5"/>
  <c r="G94" i="5"/>
  <c r="B108" i="5"/>
  <c r="F95" i="5"/>
  <c r="F113" i="5"/>
  <c r="H93" i="5"/>
  <c r="D133" i="5"/>
  <c r="C93" i="5"/>
  <c r="F127" i="5"/>
  <c r="F39" i="5"/>
  <c r="G70" i="5"/>
  <c r="G51" i="5"/>
  <c r="H71" i="5"/>
  <c r="D100" i="5"/>
  <c r="C96" i="5"/>
  <c r="B67" i="5"/>
  <c r="G123" i="5"/>
  <c r="G87" i="5"/>
  <c r="B83" i="5"/>
  <c r="G50" i="5"/>
  <c r="B125" i="5"/>
  <c r="B87" i="5"/>
  <c r="C55" i="5"/>
  <c r="G130" i="5"/>
  <c r="G61" i="5"/>
  <c r="D89" i="5"/>
  <c r="F78" i="5"/>
  <c r="C128" i="5"/>
  <c r="C45" i="5"/>
  <c r="D74" i="5"/>
  <c r="G68" i="5"/>
  <c r="H64" i="5"/>
  <c r="B71" i="5"/>
  <c r="C85" i="5"/>
  <c r="H50" i="5"/>
  <c r="C74" i="5"/>
  <c r="G109" i="5"/>
  <c r="H58" i="5"/>
  <c r="H97" i="5"/>
  <c r="G120" i="5"/>
  <c r="C117" i="5"/>
  <c r="G90" i="5"/>
  <c r="B136" i="5"/>
  <c r="H81" i="5"/>
  <c r="H47" i="5"/>
  <c r="G121" i="5"/>
  <c r="B44" i="5"/>
  <c r="E64" i="5"/>
  <c r="B104" i="5"/>
  <c r="B111" i="5"/>
  <c r="F74" i="5"/>
  <c r="G98" i="5"/>
  <c r="F123" i="5"/>
  <c r="B68" i="5"/>
  <c r="D78" i="5"/>
  <c r="B115" i="5"/>
  <c r="H54" i="5"/>
  <c r="B51" i="5"/>
  <c r="C133" i="5"/>
  <c r="D90" i="5"/>
  <c r="D42" i="5"/>
  <c r="E45" i="5"/>
  <c r="H72" i="5"/>
  <c r="H115" i="5"/>
  <c r="C103" i="5"/>
  <c r="F141" i="5"/>
  <c r="G45" i="5"/>
  <c r="E139" i="5"/>
  <c r="D62" i="5"/>
  <c r="C100" i="5"/>
  <c r="H79" i="5"/>
  <c r="D123" i="5"/>
  <c r="F110" i="5"/>
  <c r="C102" i="5"/>
  <c r="H42" i="5"/>
  <c r="E137" i="5"/>
  <c r="D139" i="5"/>
  <c r="F101" i="5"/>
  <c r="E120" i="5"/>
  <c r="E79" i="5"/>
  <c r="B93" i="5"/>
  <c r="D104" i="5"/>
  <c r="B102" i="5"/>
  <c r="H49" i="5"/>
  <c r="C46" i="5"/>
  <c r="D52" i="5"/>
  <c r="C139" i="5"/>
  <c r="E82" i="5"/>
  <c r="G76" i="5"/>
  <c r="B63" i="5"/>
  <c r="F75" i="5"/>
  <c r="G75" i="5"/>
  <c r="H67" i="5"/>
  <c r="E114" i="5"/>
  <c r="E70" i="5"/>
  <c r="C51" i="5"/>
  <c r="F86" i="5"/>
  <c r="F77" i="5"/>
  <c r="E43" i="5"/>
  <c r="F81" i="5"/>
  <c r="H65" i="5"/>
  <c r="C108" i="5"/>
  <c r="E91" i="5"/>
  <c r="C92" i="5"/>
  <c r="H122" i="5"/>
  <c r="G56" i="5"/>
  <c r="G135" i="5"/>
  <c r="H110" i="5"/>
  <c r="G40" i="5"/>
  <c r="H62" i="5"/>
  <c r="C112" i="5"/>
  <c r="H108" i="5"/>
  <c r="C116" i="5"/>
  <c r="C84" i="5"/>
  <c r="G115" i="5"/>
  <c r="F91" i="5"/>
  <c r="B132" i="5"/>
  <c r="B118" i="5"/>
  <c r="C114" i="5"/>
  <c r="H66" i="5"/>
  <c r="D94" i="5"/>
  <c r="G81" i="5"/>
  <c r="B77" i="5"/>
  <c r="H40" i="5"/>
  <c r="B80" i="5"/>
  <c r="B86" i="5"/>
  <c r="H44" i="5"/>
  <c r="G102" i="5"/>
  <c r="C75" i="5"/>
  <c r="E89" i="5"/>
  <c r="B110" i="5"/>
  <c r="D91" i="5"/>
  <c r="F38" i="5"/>
  <c r="G126" i="5"/>
  <c r="D132" i="5"/>
  <c r="G111" i="5"/>
  <c r="G104" i="5"/>
  <c r="C67" i="5"/>
  <c r="F111" i="5"/>
  <c r="D58" i="5"/>
  <c r="E110" i="5"/>
  <c r="F126" i="5"/>
  <c r="D105" i="5"/>
  <c r="H112" i="5"/>
  <c r="G141" i="5"/>
  <c r="C72" i="5"/>
  <c r="E102" i="5"/>
  <c r="D121" i="5"/>
  <c r="C38" i="5"/>
  <c r="E48" i="5"/>
  <c r="E93" i="5"/>
  <c r="H138" i="5"/>
  <c r="E72" i="5"/>
  <c r="B54" i="5"/>
  <c r="E88" i="5"/>
  <c r="C49" i="5"/>
  <c r="B79" i="5"/>
  <c r="H70" i="5"/>
  <c r="B135" i="5"/>
  <c r="D109" i="5"/>
  <c r="E56" i="5"/>
  <c r="H69" i="5"/>
  <c r="F49" i="5"/>
  <c r="G80" i="5"/>
  <c r="C122" i="5"/>
  <c r="D131" i="5"/>
  <c r="H52" i="5"/>
  <c r="H102" i="5"/>
  <c r="D125" i="5"/>
  <c r="E83" i="5"/>
  <c r="B99" i="5"/>
  <c r="F94" i="5"/>
  <c r="F125" i="5"/>
  <c r="B107" i="5"/>
  <c r="C39" i="5"/>
  <c r="E134" i="5"/>
  <c r="D135" i="5"/>
  <c r="E96" i="5"/>
  <c r="F103" i="5"/>
  <c r="E123" i="5"/>
  <c r="B60" i="5"/>
  <c r="B130" i="5"/>
  <c r="H75" i="5"/>
  <c r="H63" i="5"/>
  <c r="H53" i="5"/>
  <c r="F129" i="5"/>
  <c r="F47" i="5"/>
  <c r="B84" i="5"/>
  <c r="H132" i="5"/>
  <c r="H114" i="5"/>
  <c r="F104" i="5"/>
  <c r="B126" i="5"/>
  <c r="H82" i="5"/>
  <c r="H95" i="5"/>
  <c r="E87" i="5"/>
  <c r="D102" i="5"/>
  <c r="H92" i="5"/>
  <c r="B64" i="5"/>
  <c r="E51" i="5"/>
  <c r="G93" i="5"/>
  <c r="D82" i="5"/>
  <c r="D69" i="5"/>
  <c r="F112" i="5"/>
  <c r="G95" i="5"/>
  <c r="F87" i="5"/>
  <c r="E73" i="5"/>
  <c r="F85" i="5"/>
  <c r="F71" i="5"/>
  <c r="C79" i="5"/>
  <c r="B121" i="5"/>
  <c r="C73" i="5"/>
  <c r="C41" i="5"/>
  <c r="H106" i="5"/>
  <c r="B94" i="5"/>
  <c r="G100" i="5"/>
  <c r="E69" i="5"/>
  <c r="H123" i="5"/>
  <c r="C63" i="5"/>
  <c r="G128" i="5"/>
  <c r="B47" i="5"/>
  <c r="F59" i="5"/>
  <c r="H78" i="5"/>
  <c r="C105" i="5"/>
  <c r="G54" i="5"/>
  <c r="F83" i="5"/>
  <c r="E66" i="5"/>
  <c r="H120" i="5"/>
  <c r="G91" i="5"/>
  <c r="B123" i="5"/>
  <c r="G66" i="5"/>
  <c r="D54" i="5"/>
  <c r="D38" i="5"/>
  <c r="F122" i="5"/>
  <c r="C141" i="5"/>
  <c r="D101" i="5"/>
  <c r="E130" i="5"/>
  <c r="B88" i="5"/>
  <c r="F64" i="5"/>
  <c r="F62" i="5"/>
  <c r="D56" i="5"/>
  <c r="B75" i="5"/>
  <c r="E122" i="5"/>
  <c r="F108" i="5"/>
  <c r="C53" i="5"/>
  <c r="D120" i="5"/>
  <c r="C62" i="5"/>
  <c r="F99" i="5"/>
  <c r="E53" i="5"/>
  <c r="G116" i="5"/>
  <c r="C95" i="5"/>
  <c r="B52" i="5"/>
  <c r="H129" i="5"/>
  <c r="G58" i="5"/>
  <c r="C121" i="5"/>
  <c r="E84" i="5"/>
  <c r="B92" i="5"/>
  <c r="G53" i="5"/>
  <c r="E81" i="5"/>
  <c r="E49" i="5"/>
  <c r="E97" i="5"/>
  <c r="F135" i="5"/>
  <c r="B50" i="5"/>
  <c r="G122" i="5"/>
  <c r="H133" i="5"/>
  <c r="F61" i="5"/>
  <c r="F93" i="5"/>
  <c r="F136" i="5"/>
  <c r="H141" i="5"/>
  <c r="H101" i="5"/>
  <c r="F42" i="5"/>
  <c r="H90" i="5"/>
  <c r="H57" i="5"/>
  <c r="F89" i="5"/>
  <c r="E57" i="5"/>
  <c r="E63" i="5"/>
  <c r="C61" i="5"/>
  <c r="B62" i="5"/>
  <c r="D57" i="5"/>
  <c r="B105" i="5"/>
  <c r="G67" i="5"/>
  <c r="H87" i="5"/>
  <c r="B56" i="5"/>
  <c r="F44" i="5"/>
  <c r="C104" i="5"/>
  <c r="G138" i="5"/>
  <c r="G57" i="5"/>
  <c r="G79" i="5"/>
  <c r="H128" i="5"/>
  <c r="C140" i="5"/>
  <c r="D49" i="5"/>
  <c r="C78" i="5"/>
  <c r="F105" i="5"/>
  <c r="C125" i="5"/>
  <c r="C101" i="5"/>
  <c r="F68" i="5"/>
  <c r="G39" i="5"/>
  <c r="B124" i="5"/>
  <c r="C113" i="5"/>
  <c r="F53" i="5"/>
  <c r="H134" i="5"/>
  <c r="C131" i="5"/>
  <c r="E77" i="5"/>
  <c r="H140" i="5"/>
  <c r="C42" i="5"/>
  <c r="H98" i="5"/>
  <c r="H127" i="5"/>
  <c r="B116" i="5"/>
  <c r="E62" i="5"/>
  <c r="G136" i="5"/>
  <c r="G49" i="5"/>
  <c r="B97" i="5"/>
  <c r="E108" i="5"/>
  <c r="B133" i="5"/>
  <c r="B40" i="5"/>
  <c r="E129" i="5"/>
  <c r="E46" i="5"/>
  <c r="C60" i="5"/>
  <c r="C64" i="5"/>
  <c r="D61" i="5"/>
  <c r="B57" i="5"/>
  <c r="E98" i="5"/>
  <c r="B81" i="5"/>
  <c r="F43" i="5"/>
  <c r="C89" i="5"/>
  <c r="B82" i="5"/>
  <c r="C65" i="5"/>
  <c r="G118" i="5"/>
  <c r="B46" i="5"/>
  <c r="E117" i="5"/>
  <c r="D67" i="5"/>
  <c r="D60" i="5"/>
  <c r="D96" i="5"/>
  <c r="H117" i="5"/>
  <c r="D112" i="5"/>
  <c r="C82" i="5"/>
  <c r="H61" i="5"/>
  <c r="C59" i="5"/>
  <c r="G71" i="5"/>
  <c r="F76" i="5"/>
  <c r="H99" i="5"/>
  <c r="C88" i="5"/>
  <c r="D70" i="5"/>
  <c r="F54" i="5"/>
  <c r="C43" i="5"/>
  <c r="H59" i="5"/>
  <c r="G63" i="5"/>
  <c r="B106" i="5"/>
  <c r="D138" i="5"/>
  <c r="D92" i="5"/>
  <c r="D59" i="5"/>
  <c r="E38" i="5"/>
  <c r="F58" i="5"/>
  <c r="E95" i="5"/>
  <c r="H137" i="5"/>
  <c r="E92" i="5"/>
  <c r="D111" i="5"/>
  <c r="F109" i="5"/>
  <c r="D140" i="5"/>
  <c r="F128" i="5"/>
  <c r="F79" i="5"/>
  <c r="F50" i="5"/>
  <c r="C80" i="5"/>
  <c r="B120" i="5"/>
  <c r="D64" i="5"/>
  <c r="H80" i="5"/>
  <c r="C71" i="5"/>
  <c r="F84" i="5"/>
  <c r="B53" i="5"/>
  <c r="B59" i="5"/>
  <c r="C54" i="5"/>
  <c r="G96" i="5"/>
  <c r="F46" i="5"/>
  <c r="G137" i="5"/>
  <c r="G82" i="5"/>
  <c r="F45" i="5"/>
  <c r="C138" i="5"/>
  <c r="E99" i="5"/>
  <c r="H94" i="5"/>
  <c r="H60" i="5"/>
  <c r="B58" i="5"/>
  <c r="H91" i="5"/>
  <c r="F118" i="5"/>
  <c r="E124" i="5"/>
  <c r="B48" i="5"/>
  <c r="H111" i="5"/>
  <c r="E100" i="5"/>
  <c r="B76" i="5"/>
  <c r="B91" i="5"/>
  <c r="E103" i="5"/>
  <c r="D55" i="5"/>
  <c r="C107" i="5"/>
  <c r="F55" i="5"/>
  <c r="H48" i="5"/>
  <c r="D50" i="5"/>
  <c r="C134" i="5"/>
  <c r="B78" i="5"/>
  <c r="F69" i="5"/>
  <c r="H83" i="5"/>
  <c r="C69" i="5"/>
  <c r="E65" i="5"/>
  <c r="F96" i="5"/>
  <c r="E44" i="5"/>
  <c r="D71" i="5"/>
  <c r="D75" i="5"/>
  <c r="C87" i="5"/>
  <c r="C68" i="5"/>
  <c r="D41" i="5"/>
  <c r="C86" i="5"/>
  <c r="G131" i="5"/>
  <c r="B122" i="5"/>
  <c r="E42" i="5"/>
  <c r="H119" i="5"/>
  <c r="H46" i="5"/>
  <c r="E75" i="5"/>
  <c r="G99" i="5"/>
  <c r="B140" i="5"/>
  <c r="B73" i="5"/>
  <c r="B117" i="5"/>
  <c r="G89" i="5"/>
  <c r="H56" i="5"/>
  <c r="E60" i="5"/>
  <c r="D72" i="5"/>
  <c r="F57" i="5"/>
  <c r="C91" i="5"/>
  <c r="C44" i="5"/>
  <c r="G47" i="5"/>
  <c r="G129" i="5"/>
  <c r="D108" i="5"/>
  <c r="E104" i="5"/>
  <c r="G112" i="5"/>
  <c r="F114" i="5"/>
  <c r="B85" i="5"/>
  <c r="F51" i="5"/>
  <c r="E61" i="5"/>
  <c r="B137" i="5"/>
  <c r="C124" i="5"/>
  <c r="C119" i="5"/>
  <c r="C48" i="5"/>
  <c r="G114" i="5"/>
  <c r="G134" i="5"/>
  <c r="D76" i="5"/>
  <c r="B74" i="5"/>
  <c r="H113" i="5"/>
  <c r="D134" i="5"/>
  <c r="B66" i="5"/>
  <c r="G83" i="5"/>
  <c r="C98" i="5"/>
  <c r="F52" i="5"/>
  <c r="E67" i="5"/>
  <c r="D136" i="5"/>
  <c r="H43" i="5"/>
  <c r="E113" i="5"/>
  <c r="F70" i="5"/>
  <c r="B39" i="5"/>
  <c r="G38" i="5"/>
  <c r="F82" i="5"/>
  <c r="C97" i="5"/>
  <c r="C111" i="5"/>
  <c r="C81" i="5"/>
  <c r="E68" i="5"/>
  <c r="H125" i="5"/>
  <c r="E101" i="5"/>
  <c r="F107" i="5"/>
  <c r="B45" i="5"/>
  <c r="D128" i="5"/>
  <c r="B69" i="5"/>
  <c r="E121" i="5"/>
  <c r="F115" i="5"/>
  <c r="C47" i="5"/>
  <c r="H45" i="5"/>
  <c r="B43" i="5"/>
  <c r="H135" i="5"/>
  <c r="F130" i="5"/>
  <c r="E132" i="5"/>
  <c r="D40" i="5"/>
  <c r="H55" i="5"/>
  <c r="C66" i="5"/>
  <c r="E58" i="5"/>
  <c r="H68" i="5"/>
  <c r="E80" i="5"/>
  <c r="H84" i="5"/>
  <c r="B134" i="5"/>
  <c r="E128" i="5"/>
  <c r="E141" i="5"/>
  <c r="D127" i="5"/>
  <c r="C120" i="5"/>
  <c r="G78" i="5"/>
  <c r="E94" i="5"/>
  <c r="B38" i="5"/>
  <c r="G132" i="5"/>
  <c r="E55" i="5"/>
  <c r="B70" i="5"/>
  <c r="F100" i="5"/>
  <c r="G44" i="5"/>
  <c r="H130" i="5"/>
  <c r="G106" i="5"/>
  <c r="F97" i="5"/>
  <c r="D86" i="5"/>
  <c r="D114" i="5"/>
  <c r="E138" i="5"/>
  <c r="D81" i="5"/>
  <c r="G127" i="5"/>
  <c r="G88" i="5"/>
  <c r="G140" i="5"/>
  <c r="D68" i="5"/>
  <c r="D66" i="5"/>
  <c r="C135" i="5"/>
  <c r="F73" i="5"/>
  <c r="D137" i="5"/>
  <c r="B138" i="5"/>
  <c r="G74" i="5"/>
  <c r="F132" i="5"/>
  <c r="D113" i="5"/>
  <c r="E74" i="5"/>
  <c r="D48" i="5"/>
  <c r="F48" i="5"/>
  <c r="D46" i="5"/>
  <c r="B55" i="5"/>
  <c r="C137" i="5"/>
  <c r="D63" i="5"/>
  <c r="F138" i="5"/>
  <c r="G64" i="5"/>
  <c r="F65" i="5"/>
  <c r="C58" i="5"/>
  <c r="E47" i="5"/>
  <c r="G46" i="5"/>
  <c r="F134" i="5"/>
  <c r="G105" i="5"/>
  <c r="G43" i="5"/>
  <c r="G55" i="5"/>
  <c r="B119" i="5"/>
  <c r="D95" i="5"/>
  <c r="E52" i="5"/>
  <c r="E71" i="5"/>
  <c r="C90" i="5"/>
  <c r="C76" i="5"/>
  <c r="D73" i="5"/>
  <c r="D98" i="5"/>
  <c r="E40" i="5"/>
  <c r="E106" i="5"/>
  <c r="C115" i="5"/>
  <c r="F40" i="5"/>
  <c r="G65" i="5"/>
  <c r="E131" i="5"/>
  <c r="B61" i="5"/>
  <c r="H88" i="5"/>
  <c r="G107" i="5"/>
  <c r="B128" i="5"/>
  <c r="G92" i="5"/>
  <c r="D93" i="5"/>
  <c r="C130" i="5"/>
  <c r="D130" i="5"/>
  <c r="H89" i="5"/>
  <c r="G124" i="5"/>
  <c r="E109" i="5"/>
  <c r="B139" i="5"/>
  <c r="G108" i="5"/>
  <c r="D103" i="5"/>
  <c r="F102" i="5"/>
  <c r="G101" i="5"/>
  <c r="E111" i="5"/>
  <c r="G84" i="5"/>
  <c r="B89" i="5"/>
  <c r="F119" i="5"/>
  <c r="B109" i="5"/>
  <c r="E112" i="5"/>
  <c r="B127" i="5"/>
  <c r="F120" i="5"/>
  <c r="D83" i="5"/>
  <c r="H86" i="5"/>
  <c r="E105" i="5"/>
  <c r="H121" i="5"/>
  <c r="E135" i="5"/>
  <c r="G139" i="5"/>
  <c r="C99" i="5"/>
  <c r="D124" i="5"/>
  <c r="D119" i="5"/>
  <c r="H136" i="5"/>
  <c r="H131" i="5"/>
  <c r="G119" i="5"/>
  <c r="F140" i="5"/>
  <c r="H105" i="5"/>
  <c r="E118" i="5"/>
  <c r="C126" i="5"/>
  <c r="C123" i="5"/>
  <c r="H118" i="5"/>
  <c r="G103" i="5"/>
  <c r="G117" i="5"/>
  <c r="E140" i="5"/>
  <c r="D117" i="5"/>
  <c r="G125" i="5"/>
  <c r="B98" i="5"/>
  <c r="D118" i="5"/>
  <c r="B90" i="5"/>
  <c r="D110" i="5"/>
  <c r="H104" i="5"/>
  <c r="D87" i="5"/>
  <c r="F124" i="5"/>
  <c r="E125" i="5"/>
  <c r="F116" i="5"/>
  <c r="C136" i="5"/>
  <c r="B103" i="5"/>
  <c r="H85" i="5"/>
  <c r="G133" i="5"/>
  <c r="H96" i="5"/>
  <c r="B100" i="5"/>
  <c r="F139" i="5"/>
  <c r="E127" i="5"/>
  <c r="F92" i="5"/>
  <c r="F117" i="5"/>
  <c r="E107" i="5"/>
  <c r="F88" i="5"/>
  <c r="E133" i="5"/>
  <c r="B112" i="5"/>
  <c r="E85" i="5"/>
  <c r="B131" i="5"/>
  <c r="D85" i="5"/>
  <c r="D141" i="5"/>
  <c r="B573" i="4"/>
  <c r="B780" i="4"/>
  <c r="N77" i="5" l="1"/>
  <c r="O77" i="5"/>
  <c r="M78" i="5"/>
  <c r="L77" i="5"/>
  <c r="P77" i="5"/>
  <c r="J77" i="5"/>
  <c r="B577" i="4"/>
  <c r="K77" i="5"/>
  <c r="N78" i="5"/>
  <c r="M77" i="5"/>
  <c r="K78" i="5" l="1"/>
  <c r="B580" i="4"/>
  <c r="O78" i="5"/>
  <c r="J78" i="5"/>
  <c r="P78" i="5"/>
  <c r="L78" i="5"/>
  <c r="B586" i="4" l="1"/>
  <c r="B581" i="4"/>
  <c r="M79" i="5"/>
  <c r="M80" i="5" l="1"/>
  <c r="B595" i="4"/>
  <c r="B591" i="4"/>
  <c r="P81" i="5"/>
  <c r="J79" i="5"/>
  <c r="K79" i="5"/>
  <c r="B582" i="4"/>
  <c r="L79" i="5"/>
  <c r="O79" i="5"/>
  <c r="L80" i="5"/>
  <c r="P80" i="5"/>
  <c r="K80" i="5"/>
  <c r="N79" i="5"/>
  <c r="P79" i="5"/>
  <c r="K81" i="5"/>
  <c r="L82" i="5" l="1"/>
  <c r="O81" i="5"/>
  <c r="J81" i="5"/>
  <c r="B605" i="4"/>
  <c r="B607" i="4" s="1"/>
  <c r="B610" i="4" s="1"/>
  <c r="B598" i="4"/>
  <c r="O80" i="5"/>
  <c r="P82" i="5"/>
  <c r="N81" i="5"/>
  <c r="M81" i="5"/>
  <c r="M82" i="5"/>
  <c r="O82" i="5"/>
  <c r="J80" i="5"/>
  <c r="N80" i="5"/>
  <c r="L81" i="5"/>
  <c r="B611" i="4" l="1"/>
  <c r="O83" i="5"/>
  <c r="J82" i="5"/>
  <c r="N82" i="5"/>
  <c r="J83" i="5"/>
  <c r="K83" i="5" l="1"/>
  <c r="B615" i="4"/>
  <c r="B618" i="4" l="1"/>
  <c r="L84" i="5"/>
  <c r="B624" i="4" l="1"/>
  <c r="B619" i="4"/>
  <c r="B620" i="4" s="1"/>
  <c r="B633" i="4" l="1"/>
  <c r="B629" i="4"/>
  <c r="B643" i="4" l="1"/>
  <c r="B644" i="4" s="1"/>
  <c r="B647" i="4" s="1"/>
  <c r="B650" i="4" s="1"/>
  <c r="B680" i="4" s="1"/>
  <c r="B690" i="4" s="1"/>
  <c r="B694" i="4" s="1"/>
  <c r="B702" i="4" s="1"/>
  <c r="B720" i="4" s="1"/>
  <c r="B728" i="4" s="1"/>
  <c r="B736" i="4" s="1"/>
  <c r="B757" i="4" s="1"/>
  <c r="B766" i="4" s="1"/>
  <c r="B774" i="4" s="1"/>
  <c r="B853" i="4" s="1"/>
  <c r="B859" i="4" s="1"/>
  <c r="B861" i="4" s="1"/>
  <c r="B862" i="4" s="1"/>
  <c r="B866" i="4" s="1"/>
  <c r="B872" i="4" s="1"/>
  <c r="B636" i="4"/>
  <c r="N132" i="5" l="1"/>
  <c r="P97" i="5"/>
  <c r="K124" i="5"/>
  <c r="M132" i="5"/>
  <c r="O138" i="5"/>
  <c r="O123" i="5"/>
  <c r="L134" i="5"/>
  <c r="N129" i="5"/>
  <c r="J103" i="5"/>
  <c r="J111" i="5"/>
  <c r="J105" i="5"/>
  <c r="J102" i="5"/>
  <c r="P92" i="5"/>
  <c r="M119" i="5"/>
  <c r="K112" i="5"/>
  <c r="P132" i="5"/>
  <c r="O115" i="5"/>
  <c r="M108" i="5"/>
  <c r="O107" i="5"/>
  <c r="P90" i="5"/>
  <c r="P88" i="5"/>
  <c r="L94" i="5"/>
  <c r="L96" i="5"/>
  <c r="L89" i="5"/>
  <c r="K90" i="5"/>
  <c r="P112" i="5"/>
  <c r="M116" i="5"/>
  <c r="P113" i="5"/>
  <c r="M83" i="5"/>
  <c r="K135" i="5"/>
  <c r="M90" i="5"/>
  <c r="P119" i="5"/>
  <c r="K97" i="5"/>
  <c r="N138" i="5"/>
  <c r="O111" i="5"/>
  <c r="M109" i="5"/>
  <c r="K93" i="5"/>
  <c r="L99" i="5"/>
  <c r="M91" i="5"/>
  <c r="L107" i="5"/>
  <c r="N119" i="5"/>
  <c r="L120" i="5"/>
  <c r="J104" i="5"/>
  <c r="M133" i="5"/>
  <c r="M122" i="5"/>
  <c r="J130" i="5"/>
  <c r="O86" i="5"/>
  <c r="K95" i="5"/>
  <c r="P89" i="5"/>
  <c r="P129" i="5"/>
  <c r="O109" i="5"/>
  <c r="J96" i="5"/>
  <c r="L91" i="5"/>
  <c r="N94" i="5"/>
  <c r="L87" i="5"/>
  <c r="J93" i="5"/>
  <c r="M136" i="5"/>
  <c r="L141" i="5"/>
  <c r="M124" i="5"/>
  <c r="N103" i="5"/>
  <c r="P104" i="5"/>
  <c r="O135" i="5"/>
  <c r="M125" i="5"/>
  <c r="J127" i="5"/>
  <c r="O87" i="5"/>
  <c r="P115" i="5"/>
  <c r="J115" i="5"/>
  <c r="O122" i="5"/>
  <c r="K130" i="5"/>
  <c r="K122" i="5"/>
  <c r="N98" i="5"/>
  <c r="N122" i="5"/>
  <c r="N116" i="5"/>
  <c r="P120" i="5"/>
  <c r="L140" i="5"/>
  <c r="L83" i="5"/>
  <c r="J138" i="5"/>
  <c r="N126" i="5"/>
  <c r="L113" i="5"/>
  <c r="M86" i="5"/>
  <c r="J108" i="5"/>
  <c r="P140" i="5"/>
  <c r="O113" i="5"/>
  <c r="L95" i="5"/>
  <c r="P138" i="5"/>
  <c r="P103" i="5"/>
  <c r="M113" i="5"/>
  <c r="L88" i="5"/>
  <c r="N135" i="5"/>
  <c r="M134" i="5"/>
  <c r="O110" i="5"/>
  <c r="P83" i="5"/>
  <c r="O118" i="5"/>
  <c r="J112" i="5"/>
  <c r="M101" i="5"/>
  <c r="J95" i="5"/>
  <c r="P133" i="5"/>
  <c r="M89" i="5"/>
  <c r="K119" i="5"/>
  <c r="J91" i="5"/>
  <c r="N115" i="5"/>
  <c r="K82" i="5"/>
  <c r="K132" i="5"/>
  <c r="L114" i="5"/>
  <c r="P130" i="5"/>
  <c r="K120" i="5"/>
  <c r="P85" i="5"/>
  <c r="P124" i="5"/>
  <c r="K85" i="5"/>
  <c r="N99" i="5"/>
  <c r="K118" i="5"/>
  <c r="N87" i="5"/>
  <c r="P117" i="5"/>
  <c r="J119" i="5"/>
  <c r="J135" i="5"/>
  <c r="L125" i="5"/>
  <c r="M118" i="5"/>
  <c r="O141" i="5"/>
  <c r="J100" i="5"/>
  <c r="L115" i="5"/>
  <c r="M115" i="5"/>
  <c r="N107" i="5"/>
  <c r="L131" i="5"/>
  <c r="L117" i="5"/>
  <c r="J137" i="5"/>
  <c r="L126" i="5"/>
  <c r="J88" i="5"/>
  <c r="N137" i="5"/>
  <c r="L100" i="5"/>
  <c r="O97" i="5"/>
  <c r="N105" i="5"/>
  <c r="L128" i="5"/>
  <c r="N117" i="5"/>
  <c r="O139" i="5"/>
  <c r="O133" i="5"/>
  <c r="N124" i="5"/>
  <c r="M137" i="5"/>
  <c r="N96" i="5"/>
  <c r="M103" i="5"/>
  <c r="N118" i="5"/>
  <c r="M94" i="5"/>
  <c r="M84" i="5"/>
  <c r="L124" i="5"/>
  <c r="P114" i="5"/>
  <c r="J84" i="5"/>
  <c r="K138" i="5"/>
  <c r="M120" i="5"/>
  <c r="N141" i="5"/>
  <c r="M87" i="5"/>
  <c r="N130" i="5"/>
  <c r="L118" i="5"/>
  <c r="L103" i="5"/>
  <c r="P105" i="5"/>
  <c r="N110" i="5"/>
  <c r="J99" i="5"/>
  <c r="J125" i="5"/>
  <c r="K87" i="5"/>
  <c r="K91" i="5"/>
  <c r="N83" i="5"/>
  <c r="P100" i="5"/>
  <c r="N125" i="5"/>
  <c r="J113" i="5"/>
  <c r="P101" i="5"/>
  <c r="M123" i="5"/>
  <c r="P126" i="5"/>
  <c r="K102" i="5"/>
  <c r="K125" i="5"/>
  <c r="P95" i="5"/>
  <c r="N90" i="5"/>
  <c r="P84" i="5"/>
  <c r="K133" i="5"/>
  <c r="M139" i="5"/>
  <c r="K139" i="5"/>
  <c r="L129" i="5"/>
  <c r="N114" i="5"/>
  <c r="O134" i="5"/>
  <c r="N106" i="5"/>
  <c r="P118" i="5"/>
  <c r="K101" i="5"/>
  <c r="J85" i="5"/>
  <c r="N102" i="5"/>
  <c r="O128" i="5"/>
  <c r="O96" i="5"/>
  <c r="N139" i="5"/>
  <c r="N140" i="5"/>
  <c r="P131" i="5"/>
  <c r="M141" i="5"/>
  <c r="N91" i="5"/>
  <c r="O126" i="5"/>
  <c r="K114" i="5"/>
  <c r="J131" i="5"/>
  <c r="K115" i="5"/>
  <c r="M88" i="5"/>
  <c r="P102" i="5"/>
  <c r="M98" i="5"/>
  <c r="N92" i="5"/>
  <c r="J133" i="5"/>
  <c r="L112" i="5"/>
  <c r="M111" i="5"/>
  <c r="O131" i="5"/>
  <c r="O88" i="5"/>
  <c r="N86" i="5"/>
  <c r="O85" i="5"/>
  <c r="M140" i="5"/>
  <c r="K137" i="5"/>
  <c r="K127" i="5"/>
  <c r="K111" i="5"/>
  <c r="K94" i="5"/>
  <c r="P98" i="5"/>
  <c r="M93" i="5"/>
  <c r="M126" i="5"/>
  <c r="K141" i="5"/>
  <c r="J121" i="5"/>
  <c r="J114" i="5"/>
  <c r="K134" i="5"/>
  <c r="P93" i="5"/>
  <c r="P125" i="5"/>
  <c r="L108" i="5"/>
  <c r="O130" i="5"/>
  <c r="K105" i="5"/>
  <c r="P107" i="5"/>
  <c r="J124" i="5"/>
  <c r="L85" i="5"/>
  <c r="M85" i="5"/>
  <c r="O132" i="5"/>
  <c r="J129" i="5"/>
  <c r="O116" i="5"/>
  <c r="O114" i="5"/>
  <c r="J86" i="5"/>
  <c r="L111" i="5"/>
  <c r="N97" i="5"/>
  <c r="O120" i="5"/>
  <c r="M128" i="5"/>
  <c r="J141" i="5"/>
  <c r="K113" i="5"/>
  <c r="M106" i="5"/>
  <c r="N134" i="5"/>
  <c r="P134" i="5"/>
  <c r="N85" i="5"/>
  <c r="N120" i="5"/>
  <c r="M129" i="5"/>
  <c r="K128" i="5"/>
  <c r="K99" i="5"/>
  <c r="N123" i="5"/>
  <c r="P110" i="5"/>
  <c r="M99" i="5"/>
  <c r="O104" i="5"/>
  <c r="K92" i="5"/>
  <c r="N104" i="5"/>
  <c r="N88" i="5"/>
  <c r="M100" i="5"/>
  <c r="L90" i="5"/>
  <c r="O84" i="5"/>
  <c r="N111" i="5"/>
  <c r="K107" i="5"/>
  <c r="N128" i="5"/>
  <c r="L130" i="5"/>
  <c r="O125" i="5"/>
  <c r="P116" i="5"/>
  <c r="M131" i="5"/>
  <c r="L116" i="5"/>
  <c r="L92" i="5"/>
  <c r="J128" i="5"/>
  <c r="J106" i="5"/>
  <c r="O137" i="5"/>
  <c r="K117" i="5"/>
  <c r="K104" i="5"/>
  <c r="J123" i="5"/>
  <c r="N127" i="5"/>
  <c r="L104" i="5"/>
  <c r="P108" i="5"/>
  <c r="K106" i="5"/>
  <c r="P128" i="5"/>
  <c r="O124" i="5"/>
  <c r="K86" i="5"/>
  <c r="J126" i="5"/>
  <c r="K126" i="5"/>
  <c r="P137" i="5"/>
  <c r="K98" i="5"/>
  <c r="J134" i="5"/>
  <c r="N109" i="5"/>
  <c r="K136" i="5"/>
  <c r="L102" i="5"/>
  <c r="N89" i="5"/>
  <c r="O99" i="5"/>
  <c r="L123" i="5"/>
  <c r="J101" i="5"/>
  <c r="K110" i="5"/>
  <c r="P94" i="5"/>
  <c r="M117" i="5"/>
  <c r="J132" i="5"/>
  <c r="O117" i="5"/>
  <c r="K108" i="5"/>
  <c r="P139" i="5"/>
  <c r="K123" i="5"/>
  <c r="K89" i="5"/>
  <c r="P135" i="5"/>
  <c r="O94" i="5"/>
  <c r="J98" i="5"/>
  <c r="O121" i="5"/>
  <c r="P87" i="5"/>
  <c r="O90" i="5"/>
  <c r="K140" i="5"/>
  <c r="L132" i="5"/>
  <c r="J139" i="5"/>
  <c r="O98" i="5"/>
  <c r="K109" i="5"/>
  <c r="P123" i="5"/>
  <c r="K100" i="5"/>
  <c r="P106" i="5"/>
  <c r="J118" i="5"/>
  <c r="N95" i="5"/>
  <c r="O91" i="5"/>
  <c r="P141" i="5"/>
  <c r="K96" i="5"/>
  <c r="L137" i="5"/>
  <c r="O140" i="5"/>
  <c r="M135" i="5"/>
  <c r="L86" i="5"/>
  <c r="M97" i="5"/>
  <c r="L139" i="5"/>
  <c r="L135" i="5"/>
  <c r="M95" i="5"/>
  <c r="O103" i="5"/>
  <c r="J87" i="5"/>
  <c r="L106" i="5"/>
  <c r="N113" i="5"/>
  <c r="P121" i="5"/>
  <c r="M121" i="5"/>
  <c r="P99" i="5"/>
  <c r="P96" i="5"/>
  <c r="L122" i="5"/>
  <c r="J92" i="5"/>
  <c r="O127" i="5"/>
  <c r="J120" i="5"/>
  <c r="L136" i="5"/>
  <c r="O89" i="5"/>
  <c r="K121" i="5"/>
  <c r="O102" i="5"/>
  <c r="J117" i="5"/>
  <c r="O112" i="5"/>
  <c r="J109" i="5"/>
  <c r="N84" i="5"/>
  <c r="K129" i="5"/>
  <c r="K88" i="5"/>
  <c r="N121" i="5"/>
  <c r="O93" i="5"/>
  <c r="J107" i="5"/>
  <c r="M114" i="5"/>
  <c r="L110" i="5"/>
  <c r="N101" i="5"/>
  <c r="J122" i="5"/>
  <c r="O108" i="5"/>
  <c r="N100" i="5"/>
  <c r="N108" i="5"/>
  <c r="K103" i="5"/>
  <c r="L101" i="5"/>
  <c r="M96" i="5"/>
  <c r="P127" i="5"/>
  <c r="M130" i="5"/>
  <c r="O92" i="5"/>
  <c r="L127" i="5"/>
  <c r="L121" i="5"/>
  <c r="K84" i="5"/>
  <c r="M92" i="5"/>
  <c r="M104" i="5"/>
  <c r="P122" i="5"/>
  <c r="P91" i="5"/>
  <c r="L119" i="5"/>
  <c r="J97" i="5"/>
  <c r="J116" i="5"/>
  <c r="N112" i="5"/>
  <c r="N133" i="5"/>
  <c r="M138" i="5"/>
  <c r="P109" i="5"/>
  <c r="M112" i="5"/>
  <c r="M102" i="5"/>
  <c r="O100" i="5"/>
  <c r="O105" i="5"/>
  <c r="O129" i="5"/>
  <c r="N93" i="5"/>
  <c r="L93" i="5"/>
  <c r="L138" i="5"/>
  <c r="J140" i="5"/>
  <c r="J90" i="5"/>
  <c r="O101" i="5"/>
  <c r="P86" i="5"/>
  <c r="O119" i="5"/>
  <c r="J136" i="5"/>
  <c r="L105" i="5"/>
  <c r="N131" i="5"/>
  <c r="J89" i="5"/>
  <c r="M105" i="5"/>
  <c r="L109" i="5"/>
  <c r="J94" i="5"/>
  <c r="M107" i="5"/>
  <c r="L98" i="5"/>
  <c r="L133" i="5"/>
  <c r="L97" i="5"/>
  <c r="M127" i="5"/>
  <c r="P136" i="5"/>
  <c r="M110" i="5"/>
  <c r="K131" i="5"/>
  <c r="K116" i="5"/>
  <c r="N136" i="5"/>
  <c r="O95" i="5"/>
  <c r="J110" i="5"/>
  <c r="O136" i="5"/>
  <c r="P111" i="5"/>
  <c r="O106" i="5"/>
</calcChain>
</file>

<file path=xl/sharedStrings.xml><?xml version="1.0" encoding="utf-8"?>
<sst xmlns="http://schemas.openxmlformats.org/spreadsheetml/2006/main" count="10169" uniqueCount="3307">
  <si>
    <t>English</t>
  </si>
  <si>
    <t>Albanian</t>
  </si>
  <si>
    <t>Arabic</t>
  </si>
  <si>
    <t>Armenian</t>
  </si>
  <si>
    <t>Azerbaijan</t>
  </si>
  <si>
    <t>Bulgarian</t>
  </si>
  <si>
    <t>Català</t>
  </si>
  <si>
    <t>Chinese (Simplified)</t>
  </si>
  <si>
    <t>Chinese (Traditional)</t>
  </si>
  <si>
    <t>Croatian</t>
  </si>
  <si>
    <t>Czech</t>
  </si>
  <si>
    <t>Danish</t>
  </si>
  <si>
    <t>Dutch</t>
  </si>
  <si>
    <t>French</t>
  </si>
  <si>
    <t>Georgian</t>
  </si>
  <si>
    <t>German</t>
  </si>
  <si>
    <t>Greek</t>
  </si>
  <si>
    <t>Hebrew</t>
  </si>
  <si>
    <t>Hungarian</t>
  </si>
  <si>
    <t>Indonesia</t>
  </si>
  <si>
    <t>Icelandic</t>
  </si>
  <si>
    <t>Italian</t>
  </si>
  <si>
    <t>Korean</t>
  </si>
  <si>
    <t>Lithuanian</t>
  </si>
  <si>
    <t>Macedonian</t>
  </si>
  <si>
    <t>Maltese</t>
  </si>
  <si>
    <t>Norwegian</t>
  </si>
  <si>
    <t>Persian</t>
  </si>
  <si>
    <t>Polish</t>
  </si>
  <si>
    <t>Portuguese</t>
  </si>
  <si>
    <t>Romanian</t>
  </si>
  <si>
    <t>Russian</t>
  </si>
  <si>
    <t>Serbian</t>
  </si>
  <si>
    <t>Slovak</t>
  </si>
  <si>
    <t>Slovenian</t>
  </si>
  <si>
    <t>Spanish</t>
  </si>
  <si>
    <t>Swedish</t>
  </si>
  <si>
    <t>Thai</t>
  </si>
  <si>
    <t>Turkish</t>
  </si>
  <si>
    <t>Vietnamese</t>
  </si>
  <si>
    <t>Ukrainian</t>
  </si>
  <si>
    <t>Urdu</t>
  </si>
  <si>
    <t>Uzbek</t>
  </si>
  <si>
    <t>۲۰۱۰ فٹبال عالمی کپ ٹورنمنٹ کا خاکہ</t>
  </si>
  <si>
    <t>Group Stage</t>
  </si>
  <si>
    <t>Grupet</t>
  </si>
  <si>
    <t>الدور الأول</t>
  </si>
  <si>
    <t>Խմբային փուլ</t>
  </si>
  <si>
    <t>Qrup Mərhələsi</t>
  </si>
  <si>
    <t>Групова фаза</t>
  </si>
  <si>
    <t>Fase de grups</t>
  </si>
  <si>
    <t>小组赛阶段</t>
  </si>
  <si>
    <t>分組賽</t>
  </si>
  <si>
    <t>Prvi krug</t>
  </si>
  <si>
    <t>Základní skupiny</t>
  </si>
  <si>
    <t>Gruppespil</t>
  </si>
  <si>
    <t>Groepsfase</t>
  </si>
  <si>
    <t>Phase de groupes</t>
  </si>
  <si>
    <t>ჯგუფური ეტაპი</t>
  </si>
  <si>
    <t>Gruppenphase</t>
  </si>
  <si>
    <t>Φάση Ομίλων</t>
  </si>
  <si>
    <t>שלב הבתים</t>
  </si>
  <si>
    <t>Csoportkörök</t>
  </si>
  <si>
    <t>Babak Kualifikasi</t>
  </si>
  <si>
    <t>Riðlakeppnin</t>
  </si>
  <si>
    <t>Fase a gironi</t>
  </si>
  <si>
    <t>조별 리그</t>
  </si>
  <si>
    <t>Grupės Etapas</t>
  </si>
  <si>
    <t>Фаза по групи</t>
  </si>
  <si>
    <t>Fażi tal-Gruppi</t>
  </si>
  <si>
    <t>Gruppespill</t>
  </si>
  <si>
    <t>مرحله گروهی</t>
  </si>
  <si>
    <t>Faza Grupowa</t>
  </si>
  <si>
    <t>Fase de grupos</t>
  </si>
  <si>
    <t>Faza Grupelor</t>
  </si>
  <si>
    <t>Групповой Раунд</t>
  </si>
  <si>
    <t>Grupno takmičenje</t>
  </si>
  <si>
    <t>Skupinová fáza</t>
  </si>
  <si>
    <t>Skupinski del</t>
  </si>
  <si>
    <t>Gruppspel</t>
  </si>
  <si>
    <t>รอบแรก</t>
  </si>
  <si>
    <t>Grup Aşaması</t>
  </si>
  <si>
    <t>Vòng Bảng</t>
  </si>
  <si>
    <t>Груповий етап</t>
  </si>
  <si>
    <t>گروپ بندی</t>
  </si>
  <si>
    <t>Round of 16</t>
  </si>
  <si>
    <t>Rundi I 16</t>
  </si>
  <si>
    <t>دور الستة عشر</t>
  </si>
  <si>
    <t>1/8 Եզրափակիչ</t>
  </si>
  <si>
    <t>16-da bir raund</t>
  </si>
  <si>
    <t>1/8 - финали</t>
  </si>
  <si>
    <t>Vuitens de final</t>
  </si>
  <si>
    <t>16强赛</t>
  </si>
  <si>
    <t>十六強</t>
  </si>
  <si>
    <t>Drugi krug</t>
  </si>
  <si>
    <t>Osmifinále</t>
  </si>
  <si>
    <t>Runde af 16</t>
  </si>
  <si>
    <t>Achtste finales</t>
  </si>
  <si>
    <t>Huitièmes de finale</t>
  </si>
  <si>
    <t>მერვედფინალი</t>
  </si>
  <si>
    <t>Achtelfinale</t>
  </si>
  <si>
    <t>Φάση των 16</t>
  </si>
  <si>
    <t>שמינית גמר</t>
  </si>
  <si>
    <t>Nyolcaddöntők</t>
  </si>
  <si>
    <t>Per Delapan Final</t>
  </si>
  <si>
    <t>16 liða úrslit</t>
  </si>
  <si>
    <t>Ottavi di finale</t>
  </si>
  <si>
    <t>16강전</t>
  </si>
  <si>
    <t>16-tuko Raundas</t>
  </si>
  <si>
    <t>1/8 финале</t>
  </si>
  <si>
    <t>L-Aħħar Sittax</t>
  </si>
  <si>
    <t>8-dels finale</t>
  </si>
  <si>
    <t xml:space="preserve"> یک هشتم نهائی</t>
  </si>
  <si>
    <t>1/8 Finału</t>
  </si>
  <si>
    <t>Oitavos de Final</t>
  </si>
  <si>
    <t>Optimi</t>
  </si>
  <si>
    <t>1/8 Финала</t>
  </si>
  <si>
    <t>Šesnaestina finala</t>
  </si>
  <si>
    <t>Osemfinále</t>
  </si>
  <si>
    <t>Osminafinala</t>
  </si>
  <si>
    <t>Octavos de final</t>
  </si>
  <si>
    <t>Åttondelsfinal</t>
  </si>
  <si>
    <t>รอบสอง</t>
  </si>
  <si>
    <t>Son 16</t>
  </si>
  <si>
    <t>Vòng 1/16</t>
  </si>
  <si>
    <t>1/8 фіналу</t>
  </si>
  <si>
    <t>سولھواں دور</t>
  </si>
  <si>
    <t>Quarterfinals</t>
  </si>
  <si>
    <t>Qerekfinalja</t>
  </si>
  <si>
    <t>دور الربع نهائي</t>
  </si>
  <si>
    <t>1/4 Եզրափակիչ</t>
  </si>
  <si>
    <t>Dörddə bir Final</t>
  </si>
  <si>
    <t>1/4 - финали</t>
  </si>
  <si>
    <t>Quarts de final</t>
  </si>
  <si>
    <t>8强赛</t>
  </si>
  <si>
    <t>八強</t>
  </si>
  <si>
    <t>Četvrtfinale</t>
  </si>
  <si>
    <t>Čtvrtfinále</t>
  </si>
  <si>
    <t>Kvartfinale</t>
  </si>
  <si>
    <t>Kwartfinales</t>
  </si>
  <si>
    <t>Quart de Finale</t>
  </si>
  <si>
    <t>მეოთხედფინალი</t>
  </si>
  <si>
    <t>Viertelfinale</t>
  </si>
  <si>
    <t>Προημιτελικοί</t>
  </si>
  <si>
    <t>רבע גמר</t>
  </si>
  <si>
    <t>Negyeddöntők</t>
  </si>
  <si>
    <t>Perempat Final</t>
  </si>
  <si>
    <t>8 liða úrslit</t>
  </si>
  <si>
    <t>Quarti di finale</t>
  </si>
  <si>
    <t>8강전</t>
  </si>
  <si>
    <t>Ketvirtfinaliai</t>
  </si>
  <si>
    <t>1/4 финале</t>
  </si>
  <si>
    <t>Kwarti-Finali</t>
  </si>
  <si>
    <t>یک چهارم نهائی</t>
  </si>
  <si>
    <t>Ćwierćfinały</t>
  </si>
  <si>
    <t>Quartos de Final</t>
  </si>
  <si>
    <t>Sferturi de finala</t>
  </si>
  <si>
    <t>Четвертьфиналы</t>
  </si>
  <si>
    <t>Štvrťfinále</t>
  </si>
  <si>
    <t>Četrtfinale</t>
  </si>
  <si>
    <t>Cuartos de Final</t>
  </si>
  <si>
    <t>Kvartsfinal</t>
  </si>
  <si>
    <t>รอบก่อนรองชนะเลิศ</t>
  </si>
  <si>
    <t>Çeyrek Final</t>
  </si>
  <si>
    <t>Tứ kết</t>
  </si>
  <si>
    <t>Чвертьфінал</t>
  </si>
  <si>
    <t>کواٹر فائنل</t>
  </si>
  <si>
    <t>Semi-Finals</t>
  </si>
  <si>
    <t>Gjysmëfinalja</t>
  </si>
  <si>
    <t>دور النصف نهائي</t>
  </si>
  <si>
    <t>Կիսաեզրափակիչ</t>
  </si>
  <si>
    <t>Yarım Final</t>
  </si>
  <si>
    <t>1/2 - финали</t>
  </si>
  <si>
    <t>Semifinals</t>
  </si>
  <si>
    <t>半决赛</t>
  </si>
  <si>
    <t>準決賽</t>
  </si>
  <si>
    <t>Polufinale</t>
  </si>
  <si>
    <t>Semifinále</t>
  </si>
  <si>
    <t>Semifinale</t>
  </si>
  <si>
    <t>Halve finales</t>
  </si>
  <si>
    <t>Demi-Finale</t>
  </si>
  <si>
    <t>ნახევარფინალი</t>
  </si>
  <si>
    <t>Halbfinale</t>
  </si>
  <si>
    <t>Ημιτελικοί</t>
  </si>
  <si>
    <t>חצי גמר</t>
  </si>
  <si>
    <t>Elődöntők</t>
  </si>
  <si>
    <t>Semi Final</t>
  </si>
  <si>
    <t>Undanúrslit</t>
  </si>
  <si>
    <t>Semifinali</t>
  </si>
  <si>
    <t>준결승전</t>
  </si>
  <si>
    <t>Pusfinaliai</t>
  </si>
  <si>
    <t>1/2 финале</t>
  </si>
  <si>
    <t>Semi-Finali</t>
  </si>
  <si>
    <t>نیمه نهائی</t>
  </si>
  <si>
    <t>Półfinały</t>
  </si>
  <si>
    <t>Semi-final</t>
  </si>
  <si>
    <t>Полуфиналы</t>
  </si>
  <si>
    <t>Polfinale</t>
  </si>
  <si>
    <t>Semifinales</t>
  </si>
  <si>
    <t>Semifinal</t>
  </si>
  <si>
    <t>รอบรองชนะเลิศ</t>
  </si>
  <si>
    <t>Yarı Final</t>
  </si>
  <si>
    <t>Bán kết</t>
  </si>
  <si>
    <t>Півфінал</t>
  </si>
  <si>
    <t>سیمی فائنل</t>
  </si>
  <si>
    <t>Third-Place Play-Off</t>
  </si>
  <si>
    <t>Takimi për vendin e tretë</t>
  </si>
  <si>
    <t>تحديد المركزين الثالث والرابع</t>
  </si>
  <si>
    <t>3-րդ տեղի համար եզրափակիչ</t>
  </si>
  <si>
    <t>Üçüncü Yer Uğrunda</t>
  </si>
  <si>
    <t>Мач за трето място</t>
  </si>
  <si>
    <t>3r i 4t lloc</t>
  </si>
  <si>
    <t>季军赛</t>
  </si>
  <si>
    <t>季軍賽</t>
  </si>
  <si>
    <t>Za treće mjesto</t>
  </si>
  <si>
    <t>Zápas o 3.místo</t>
  </si>
  <si>
    <t>Tredjeplads Kamp</t>
  </si>
  <si>
    <t>Derde en vierde plaats</t>
  </si>
  <si>
    <t>Match pour la troisième place</t>
  </si>
  <si>
    <t>მესამე ადგილი</t>
  </si>
  <si>
    <t>Spiel um den dritten Platz</t>
  </si>
  <si>
    <t>Μικρός Τελικός</t>
  </si>
  <si>
    <t>מקום 3-4</t>
  </si>
  <si>
    <t>Bronzmeccs</t>
  </si>
  <si>
    <t>Perebutan Tempat Ketiga</t>
  </si>
  <si>
    <t>Leikur um 3.sæti</t>
  </si>
  <si>
    <t>Finale 3°- 4° posto</t>
  </si>
  <si>
    <t>3,4위전</t>
  </si>
  <si>
    <t>Rungtynės dėl Trečios Vietos</t>
  </si>
  <si>
    <t>Натпревар за трето место</t>
  </si>
  <si>
    <t>Final għat-Tielet u r-Raba' Post</t>
  </si>
  <si>
    <t>Bronsefinale</t>
  </si>
  <si>
    <t>رده بندی</t>
  </si>
  <si>
    <t>Mecz o trzecie miejsce</t>
  </si>
  <si>
    <t>3º/4º lugar</t>
  </si>
  <si>
    <t>Finala mica</t>
  </si>
  <si>
    <t>Матч за Третье Место</t>
  </si>
  <si>
    <t xml:space="preserve">Zápas o 3. miesto </t>
  </si>
  <si>
    <t>Za tretje mesto</t>
  </si>
  <si>
    <t>Tercer puesto</t>
  </si>
  <si>
    <t>Match om tredje pris</t>
  </si>
  <si>
    <t>รอบชิงที่ 3</t>
  </si>
  <si>
    <t>Üçüncülük Maçı</t>
  </si>
  <si>
    <t>Tranh hạng 3</t>
  </si>
  <si>
    <t>Матч за третє місце</t>
  </si>
  <si>
    <t>تیسرے مقام کے لئے کھیل</t>
  </si>
  <si>
    <t>Final</t>
  </si>
  <si>
    <t>Finalja</t>
  </si>
  <si>
    <t>المباراة النهائية</t>
  </si>
  <si>
    <t>Եզրափակիչ</t>
  </si>
  <si>
    <t>Финал</t>
  </si>
  <si>
    <t>总决赛</t>
  </si>
  <si>
    <t>總決賽</t>
  </si>
  <si>
    <t>Finale</t>
  </si>
  <si>
    <t>Finále</t>
  </si>
  <si>
    <t>ფინალი</t>
  </si>
  <si>
    <t>Τελικός</t>
  </si>
  <si>
    <t>גמר</t>
  </si>
  <si>
    <t>Döntő</t>
  </si>
  <si>
    <t>Úrslit</t>
  </si>
  <si>
    <t>결승전</t>
  </si>
  <si>
    <t>Finalas</t>
  </si>
  <si>
    <t>Финале</t>
  </si>
  <si>
    <t>Finali</t>
  </si>
  <si>
    <t>فینال</t>
  </si>
  <si>
    <t>Finał</t>
  </si>
  <si>
    <t>FINALA</t>
  </si>
  <si>
    <t>รอบชิงชนะเลิศ</t>
  </si>
  <si>
    <t>Chung Kết</t>
  </si>
  <si>
    <t>Фінал</t>
  </si>
  <si>
    <t>فائنل</t>
  </si>
  <si>
    <t>Group</t>
  </si>
  <si>
    <t>Grupi</t>
  </si>
  <si>
    <t>المجموعة</t>
  </si>
  <si>
    <t>Խումբ</t>
  </si>
  <si>
    <t>Qrup</t>
  </si>
  <si>
    <t>Група</t>
  </si>
  <si>
    <t>Grup</t>
  </si>
  <si>
    <t>小组</t>
  </si>
  <si>
    <t>小組</t>
  </si>
  <si>
    <t>Grupa</t>
  </si>
  <si>
    <t>Skupina</t>
  </si>
  <si>
    <t>Gruppe</t>
  </si>
  <si>
    <t>Groep</t>
  </si>
  <si>
    <t>Groupe</t>
  </si>
  <si>
    <t>ჯგუფი</t>
  </si>
  <si>
    <t>Όμιλος</t>
  </si>
  <si>
    <t>בית</t>
  </si>
  <si>
    <t>Csoport</t>
  </si>
  <si>
    <t>Kelompok</t>
  </si>
  <si>
    <t>Riðill</t>
  </si>
  <si>
    <t>Gruppo</t>
  </si>
  <si>
    <t>그룹</t>
  </si>
  <si>
    <t>Grupė</t>
  </si>
  <si>
    <t>Grupp</t>
  </si>
  <si>
    <t>گروه</t>
  </si>
  <si>
    <t>Grupo</t>
  </si>
  <si>
    <t>Группа</t>
  </si>
  <si>
    <t>สาย</t>
  </si>
  <si>
    <t>Bảng</t>
  </si>
  <si>
    <t>PL</t>
  </si>
  <si>
    <t>L</t>
  </si>
  <si>
    <t>لعب</t>
  </si>
  <si>
    <t>Խ</t>
  </si>
  <si>
    <t>O</t>
  </si>
  <si>
    <t>М</t>
  </si>
  <si>
    <t>J</t>
  </si>
  <si>
    <t>场次</t>
  </si>
  <si>
    <t>賽</t>
  </si>
  <si>
    <t>Z</t>
  </si>
  <si>
    <t>SP</t>
  </si>
  <si>
    <t>WG</t>
  </si>
  <si>
    <t>თ</t>
  </si>
  <si>
    <t>ΑΓ</t>
  </si>
  <si>
    <t>משחקים</t>
  </si>
  <si>
    <t>M</t>
  </si>
  <si>
    <t>Main</t>
  </si>
  <si>
    <t>G</t>
  </si>
  <si>
    <t>경기</t>
  </si>
  <si>
    <t>Žst</t>
  </si>
  <si>
    <t>О</t>
  </si>
  <si>
    <t>S</t>
  </si>
  <si>
    <t>بازی</t>
  </si>
  <si>
    <t>И</t>
  </si>
  <si>
    <t>UT</t>
  </si>
  <si>
    <t>Sp</t>
  </si>
  <si>
    <t>แข่ง</t>
  </si>
  <si>
    <t>Trận</t>
  </si>
  <si>
    <t>І</t>
  </si>
  <si>
    <t>کھیلے گئے مقابلے</t>
  </si>
  <si>
    <t>W</t>
  </si>
  <si>
    <t>F</t>
  </si>
  <si>
    <t>فاز</t>
  </si>
  <si>
    <t>Հ</t>
  </si>
  <si>
    <t>Q</t>
  </si>
  <si>
    <t>П</t>
  </si>
  <si>
    <t>胜</t>
  </si>
  <si>
    <t>勝</t>
  </si>
  <si>
    <t>V</t>
  </si>
  <si>
    <t>მოგ</t>
  </si>
  <si>
    <t>Ν</t>
  </si>
  <si>
    <t>נצחונות</t>
  </si>
  <si>
    <t>GY</t>
  </si>
  <si>
    <t>Menang</t>
  </si>
  <si>
    <t>U</t>
  </si>
  <si>
    <t>승</t>
  </si>
  <si>
    <t>R</t>
  </si>
  <si>
    <t>برد</t>
  </si>
  <si>
    <t>В</t>
  </si>
  <si>
    <t>P</t>
  </si>
  <si>
    <t>ชนะ</t>
  </si>
  <si>
    <t>T</t>
  </si>
  <si>
    <t>جیت</t>
  </si>
  <si>
    <t>DRAW</t>
  </si>
  <si>
    <t>BAR</t>
  </si>
  <si>
    <t>تعادل</t>
  </si>
  <si>
    <t>Ո</t>
  </si>
  <si>
    <t>H</t>
  </si>
  <si>
    <t>Р</t>
  </si>
  <si>
    <t>E</t>
  </si>
  <si>
    <t>平</t>
  </si>
  <si>
    <t>和</t>
  </si>
  <si>
    <t>Uafgjort</t>
  </si>
  <si>
    <t>ფრე</t>
  </si>
  <si>
    <t>Ι</t>
  </si>
  <si>
    <t>תיקו</t>
  </si>
  <si>
    <t>D</t>
  </si>
  <si>
    <t>Seri</t>
  </si>
  <si>
    <t>Jafnt</t>
  </si>
  <si>
    <t>무</t>
  </si>
  <si>
    <t>Lyg</t>
  </si>
  <si>
    <t>Н</t>
  </si>
  <si>
    <t>I</t>
  </si>
  <si>
    <t>مساوی</t>
  </si>
  <si>
    <t>NER.</t>
  </si>
  <si>
    <t>เสมอ</t>
  </si>
  <si>
    <t>B</t>
  </si>
  <si>
    <t>برابر</t>
  </si>
  <si>
    <t>خسر</t>
  </si>
  <si>
    <t>Պ</t>
  </si>
  <si>
    <t>З</t>
  </si>
  <si>
    <t>负</t>
  </si>
  <si>
    <t>負</t>
  </si>
  <si>
    <t>წაგ</t>
  </si>
  <si>
    <t>N</t>
  </si>
  <si>
    <t xml:space="preserve">Η </t>
  </si>
  <si>
    <t>הפסדים</t>
  </si>
  <si>
    <t>Kalah</t>
  </si>
  <si>
    <t>패</t>
  </si>
  <si>
    <t>باخت</t>
  </si>
  <si>
    <t>แพ้</t>
  </si>
  <si>
    <t>ہارے گئے مقابلے</t>
  </si>
  <si>
    <t>GF - GA</t>
  </si>
  <si>
    <t>GSH-GP</t>
  </si>
  <si>
    <t>عليه - له</t>
  </si>
  <si>
    <t>ԽԳ-ԲԳ</t>
  </si>
  <si>
    <t>QV - QB</t>
  </si>
  <si>
    <t>Гол. Разл.</t>
  </si>
  <si>
    <t>GF - GC</t>
  </si>
  <si>
    <t>得失球</t>
  </si>
  <si>
    <t>得球 - 失球</t>
  </si>
  <si>
    <t>GV - GI</t>
  </si>
  <si>
    <t>MF - MI</t>
  </si>
  <si>
    <t>DV-DT</t>
  </si>
  <si>
    <t>BP - BC</t>
  </si>
  <si>
    <t>გგ - მგ</t>
  </si>
  <si>
    <t>ET - KT</t>
  </si>
  <si>
    <t>Υ-Κ</t>
  </si>
  <si>
    <t>יחס שערים</t>
  </si>
  <si>
    <t>Gólkül.</t>
  </si>
  <si>
    <t xml:space="preserve">Skor </t>
  </si>
  <si>
    <t>S - F</t>
  </si>
  <si>
    <t>GF - GS</t>
  </si>
  <si>
    <t>골득실</t>
  </si>
  <si>
    <t>Įm - Pr</t>
  </si>
  <si>
    <t>Разлика</t>
  </si>
  <si>
    <t>GF - GK</t>
  </si>
  <si>
    <t>Mål</t>
  </si>
  <si>
    <t>خورده-زده</t>
  </si>
  <si>
    <t>Z - S</t>
  </si>
  <si>
    <t>GM - GS</t>
  </si>
  <si>
    <t>GM - GP</t>
  </si>
  <si>
    <t>З - П</t>
  </si>
  <si>
    <t>GD - GP</t>
  </si>
  <si>
    <t>GS-GI</t>
  </si>
  <si>
    <t>GM – IM</t>
  </si>
  <si>
    <t>ได้ - เสีย</t>
  </si>
  <si>
    <t>A - Y</t>
  </si>
  <si>
    <t>Hiệu số</t>
  </si>
  <si>
    <t xml:space="preserve">М </t>
  </si>
  <si>
    <t>گول کئے- انکے خلاف گول کئے گئے</t>
  </si>
  <si>
    <t>PNT</t>
  </si>
  <si>
    <t>PIK</t>
  </si>
  <si>
    <t>النقاط</t>
  </si>
  <si>
    <t>Մ</t>
  </si>
  <si>
    <t>Xal</t>
  </si>
  <si>
    <t>Т</t>
  </si>
  <si>
    <t>Punts</t>
  </si>
  <si>
    <t>积分</t>
  </si>
  <si>
    <t>分數</t>
  </si>
  <si>
    <t>Body</t>
  </si>
  <si>
    <t>PTS</t>
  </si>
  <si>
    <t>ქულა</t>
  </si>
  <si>
    <t>PKT</t>
  </si>
  <si>
    <t>ΒΘ</t>
  </si>
  <si>
    <t>נקודות</t>
  </si>
  <si>
    <t>Nilai</t>
  </si>
  <si>
    <t>Stig</t>
  </si>
  <si>
    <t>Punti</t>
  </si>
  <si>
    <t>승점</t>
  </si>
  <si>
    <t>Tšk</t>
  </si>
  <si>
    <t>Б</t>
  </si>
  <si>
    <t>امتیاز</t>
  </si>
  <si>
    <t>Pkt</t>
  </si>
  <si>
    <t>ОЧКИ</t>
  </si>
  <si>
    <t>BOD</t>
  </si>
  <si>
    <t>คะแนน</t>
  </si>
  <si>
    <t>Điểm</t>
  </si>
  <si>
    <t>نشان</t>
  </si>
  <si>
    <t>Sun</t>
  </si>
  <si>
    <t>Diel</t>
  </si>
  <si>
    <t>الأحد</t>
  </si>
  <si>
    <t>Կիր.</t>
  </si>
  <si>
    <t>Нед</t>
  </si>
  <si>
    <t>Diu</t>
  </si>
  <si>
    <t>周日</t>
  </si>
  <si>
    <t>Ned</t>
  </si>
  <si>
    <t>Ne</t>
  </si>
  <si>
    <t>Søn</t>
  </si>
  <si>
    <t>Zo</t>
  </si>
  <si>
    <t>კვირა</t>
  </si>
  <si>
    <t>Κυρ</t>
  </si>
  <si>
    <t>ראשון</t>
  </si>
  <si>
    <t>Vas</t>
  </si>
  <si>
    <t>Min</t>
  </si>
  <si>
    <t>Dom</t>
  </si>
  <si>
    <t>일</t>
  </si>
  <si>
    <t>Sekm</t>
  </si>
  <si>
    <t>Ħad</t>
  </si>
  <si>
    <t>یکشنبه</t>
  </si>
  <si>
    <t>Nd</t>
  </si>
  <si>
    <t>Dum</t>
  </si>
  <si>
    <t>Вс</t>
  </si>
  <si>
    <t>Sön</t>
  </si>
  <si>
    <t>อาทิตย์</t>
  </si>
  <si>
    <t>Paz</t>
  </si>
  <si>
    <t>CN</t>
  </si>
  <si>
    <t>Нд</t>
  </si>
  <si>
    <t>اتوار</t>
  </si>
  <si>
    <t>Mon</t>
  </si>
  <si>
    <t>Hënë</t>
  </si>
  <si>
    <t>الاثنين</t>
  </si>
  <si>
    <t>Երկ.</t>
  </si>
  <si>
    <t>BE</t>
  </si>
  <si>
    <t>Пон</t>
  </si>
  <si>
    <t>Dil</t>
  </si>
  <si>
    <t>周一</t>
  </si>
  <si>
    <t>Pon</t>
  </si>
  <si>
    <t>Po</t>
  </si>
  <si>
    <t>Man</t>
  </si>
  <si>
    <t>Ma</t>
  </si>
  <si>
    <t>ორშ</t>
  </si>
  <si>
    <t>Δευ</t>
  </si>
  <si>
    <t>שני</t>
  </si>
  <si>
    <t>Hét</t>
  </si>
  <si>
    <t>Sen</t>
  </si>
  <si>
    <t>Mán</t>
  </si>
  <si>
    <t>Lun</t>
  </si>
  <si>
    <t>월</t>
  </si>
  <si>
    <t>Pirm</t>
  </si>
  <si>
    <t>Tne</t>
  </si>
  <si>
    <t>دوشنبه</t>
  </si>
  <si>
    <t>Pn</t>
  </si>
  <si>
    <t>Seg</t>
  </si>
  <si>
    <t>Пн</t>
  </si>
  <si>
    <t>Mån</t>
  </si>
  <si>
    <t>จันทร์</t>
  </si>
  <si>
    <t>Pzt</t>
  </si>
  <si>
    <t>T2</t>
  </si>
  <si>
    <t>پیر</t>
  </si>
  <si>
    <t>Tue</t>
  </si>
  <si>
    <t>Mar</t>
  </si>
  <si>
    <t>الثلاثاء</t>
  </si>
  <si>
    <t>Երեք.</t>
  </si>
  <si>
    <t>ÇA</t>
  </si>
  <si>
    <t>Вт</t>
  </si>
  <si>
    <t>Dim</t>
  </si>
  <si>
    <t>周二</t>
  </si>
  <si>
    <t>Uto</t>
  </si>
  <si>
    <t>Út</t>
  </si>
  <si>
    <t>Tir</t>
  </si>
  <si>
    <t>Di</t>
  </si>
  <si>
    <t>სამშ</t>
  </si>
  <si>
    <t>Τρι</t>
  </si>
  <si>
    <t>שלישי</t>
  </si>
  <si>
    <t>Ke</t>
  </si>
  <si>
    <t>Sel</t>
  </si>
  <si>
    <t>Þri</t>
  </si>
  <si>
    <t>화</t>
  </si>
  <si>
    <t>Antr</t>
  </si>
  <si>
    <t>Вто</t>
  </si>
  <si>
    <t>Tli</t>
  </si>
  <si>
    <t>Tirs</t>
  </si>
  <si>
    <t>سه شنبه</t>
  </si>
  <si>
    <t>Wt</t>
  </si>
  <si>
    <t>Ter</t>
  </si>
  <si>
    <t>Ut</t>
  </si>
  <si>
    <t>Tor</t>
  </si>
  <si>
    <t>Tis</t>
  </si>
  <si>
    <t>อังคาร</t>
  </si>
  <si>
    <t>Sal</t>
  </si>
  <si>
    <t>T3</t>
  </si>
  <si>
    <t>منگل</t>
  </si>
  <si>
    <t>Wed</t>
  </si>
  <si>
    <t>Mër</t>
  </si>
  <si>
    <t>الأربعاء</t>
  </si>
  <si>
    <t>Չոր.</t>
  </si>
  <si>
    <t>Ç</t>
  </si>
  <si>
    <t>Сря</t>
  </si>
  <si>
    <t>Dix</t>
  </si>
  <si>
    <t>周三</t>
  </si>
  <si>
    <t>Sri</t>
  </si>
  <si>
    <t>St</t>
  </si>
  <si>
    <t>Ons</t>
  </si>
  <si>
    <t>Wo</t>
  </si>
  <si>
    <t>ოთხშ</t>
  </si>
  <si>
    <t>Τετ</t>
  </si>
  <si>
    <t>רביעי</t>
  </si>
  <si>
    <t>Sze</t>
  </si>
  <si>
    <t>Rab</t>
  </si>
  <si>
    <t>Mið</t>
  </si>
  <si>
    <t>Mer</t>
  </si>
  <si>
    <t>수</t>
  </si>
  <si>
    <t>Treč</t>
  </si>
  <si>
    <t>Сре</t>
  </si>
  <si>
    <t>Erb</t>
  </si>
  <si>
    <t>چهارشنبه</t>
  </si>
  <si>
    <t>Śr</t>
  </si>
  <si>
    <t>Qua</t>
  </si>
  <si>
    <t>Mie</t>
  </si>
  <si>
    <t>Ср</t>
  </si>
  <si>
    <t>Sre</t>
  </si>
  <si>
    <t>พุธ</t>
  </si>
  <si>
    <t>Çar</t>
  </si>
  <si>
    <t>T4</t>
  </si>
  <si>
    <t>بدھ</t>
  </si>
  <si>
    <t>Thu</t>
  </si>
  <si>
    <t>Enjt</t>
  </si>
  <si>
    <t>الخميس</t>
  </si>
  <si>
    <t>Հինգ.</t>
  </si>
  <si>
    <t>CA</t>
  </si>
  <si>
    <t>Четв</t>
  </si>
  <si>
    <t>Dij</t>
  </si>
  <si>
    <t>周四</t>
  </si>
  <si>
    <t>Čet</t>
  </si>
  <si>
    <t>Čt</t>
  </si>
  <si>
    <t>Do</t>
  </si>
  <si>
    <t>ხუთშ</t>
  </si>
  <si>
    <t>Πεμ</t>
  </si>
  <si>
    <t>חמישי</t>
  </si>
  <si>
    <t>Csü</t>
  </si>
  <si>
    <t>Kam</t>
  </si>
  <si>
    <t>Fim</t>
  </si>
  <si>
    <t>Gio</t>
  </si>
  <si>
    <t>목</t>
  </si>
  <si>
    <t>Ketv</t>
  </si>
  <si>
    <t>Чет</t>
  </si>
  <si>
    <t>Ħam</t>
  </si>
  <si>
    <t>Tors</t>
  </si>
  <si>
    <t>پنجشنبه</t>
  </si>
  <si>
    <t>Cz</t>
  </si>
  <si>
    <t>Qui</t>
  </si>
  <si>
    <t>Joi</t>
  </si>
  <si>
    <t>Чт</t>
  </si>
  <si>
    <t>Št</t>
  </si>
  <si>
    <t>พฤหัส</t>
  </si>
  <si>
    <t>Per</t>
  </si>
  <si>
    <t>T5</t>
  </si>
  <si>
    <t>جمعرات</t>
  </si>
  <si>
    <t>Fri</t>
  </si>
  <si>
    <t>Pre</t>
  </si>
  <si>
    <t>الجمعة</t>
  </si>
  <si>
    <t>Ուրբ.</t>
  </si>
  <si>
    <t>C</t>
  </si>
  <si>
    <t>Пет</t>
  </si>
  <si>
    <t>Div</t>
  </si>
  <si>
    <t>周五</t>
  </si>
  <si>
    <t>Pet</t>
  </si>
  <si>
    <t>Pá</t>
  </si>
  <si>
    <t>Fre</t>
  </si>
  <si>
    <t>Vr</t>
  </si>
  <si>
    <t>პარ</t>
  </si>
  <si>
    <t>Παρ</t>
  </si>
  <si>
    <t>שישי</t>
  </si>
  <si>
    <t>Pé</t>
  </si>
  <si>
    <t>Jum</t>
  </si>
  <si>
    <t>Fös</t>
  </si>
  <si>
    <t>Ven</t>
  </si>
  <si>
    <t>금</t>
  </si>
  <si>
    <t>Penk</t>
  </si>
  <si>
    <t>Ġim</t>
  </si>
  <si>
    <t>جمعه</t>
  </si>
  <si>
    <t>Pt</t>
  </si>
  <si>
    <t>Sex</t>
  </si>
  <si>
    <t>Vin</t>
  </si>
  <si>
    <t>Пт</t>
  </si>
  <si>
    <t>Pi</t>
  </si>
  <si>
    <t>ศุกร์</t>
  </si>
  <si>
    <t>Cum</t>
  </si>
  <si>
    <t>T6</t>
  </si>
  <si>
    <t>جمعہ</t>
  </si>
  <si>
    <t>Sat</t>
  </si>
  <si>
    <t>Sht</t>
  </si>
  <si>
    <t>السبت</t>
  </si>
  <si>
    <t>Շաբ.</t>
  </si>
  <si>
    <t>Ş</t>
  </si>
  <si>
    <t>Съб</t>
  </si>
  <si>
    <t>Dis</t>
  </si>
  <si>
    <t>周六</t>
  </si>
  <si>
    <t>Sub</t>
  </si>
  <si>
    <t>So</t>
  </si>
  <si>
    <t>Lør</t>
  </si>
  <si>
    <t>Za</t>
  </si>
  <si>
    <t>შაბ</t>
  </si>
  <si>
    <t>Σαβ</t>
  </si>
  <si>
    <t>שבת</t>
  </si>
  <si>
    <t>Szo</t>
  </si>
  <si>
    <t>Sab</t>
  </si>
  <si>
    <t>Lau</t>
  </si>
  <si>
    <t>토</t>
  </si>
  <si>
    <t>Šešt</t>
  </si>
  <si>
    <t>Саб</t>
  </si>
  <si>
    <t>Sib</t>
  </si>
  <si>
    <t>شنبه</t>
  </si>
  <si>
    <t>Sam</t>
  </si>
  <si>
    <t>Сб</t>
  </si>
  <si>
    <t>Sob</t>
  </si>
  <si>
    <t>Lör</t>
  </si>
  <si>
    <t>เสาร์</t>
  </si>
  <si>
    <t>Cmt</t>
  </si>
  <si>
    <t>T7</t>
  </si>
  <si>
    <t>سنیچر</t>
  </si>
  <si>
    <t>Jan</t>
  </si>
  <si>
    <t>كانون ثاني</t>
  </si>
  <si>
    <t>Հունվ.</t>
  </si>
  <si>
    <t>Yan</t>
  </si>
  <si>
    <t>Януари</t>
  </si>
  <si>
    <t>Gen</t>
  </si>
  <si>
    <t>一月</t>
  </si>
  <si>
    <t>Sij</t>
  </si>
  <si>
    <t>Janv</t>
  </si>
  <si>
    <t>იან</t>
  </si>
  <si>
    <t>Ιαν</t>
  </si>
  <si>
    <t>ינואר</t>
  </si>
  <si>
    <t>1월</t>
  </si>
  <si>
    <t>Saus</t>
  </si>
  <si>
    <t>Јан</t>
  </si>
  <si>
    <t>زانویه</t>
  </si>
  <si>
    <t>Sty</t>
  </si>
  <si>
    <t>Ian</t>
  </si>
  <si>
    <t>Янв</t>
  </si>
  <si>
    <t>Ene</t>
  </si>
  <si>
    <t>jan</t>
  </si>
  <si>
    <t>มกราคม</t>
  </si>
  <si>
    <t>Oca</t>
  </si>
  <si>
    <t>Tháng 1</t>
  </si>
  <si>
    <t>Січ</t>
  </si>
  <si>
    <t>جنوری</t>
  </si>
  <si>
    <t>Feb</t>
  </si>
  <si>
    <t>Shk</t>
  </si>
  <si>
    <t>شباط</t>
  </si>
  <si>
    <t>Փետր.</t>
  </si>
  <si>
    <t>Fev</t>
  </si>
  <si>
    <t>Февруари</t>
  </si>
  <si>
    <t>二月</t>
  </si>
  <si>
    <t>Vel</t>
  </si>
  <si>
    <t>Févr</t>
  </si>
  <si>
    <t>თებ</t>
  </si>
  <si>
    <t>Φεβ</t>
  </si>
  <si>
    <t>פברואר</t>
  </si>
  <si>
    <t>Peb</t>
  </si>
  <si>
    <t>2월</t>
  </si>
  <si>
    <t>Фев</t>
  </si>
  <si>
    <t>Fra</t>
  </si>
  <si>
    <t>فوریه</t>
  </si>
  <si>
    <t>Lut</t>
  </si>
  <si>
    <t>กุมภาพันธ์</t>
  </si>
  <si>
    <t>Şub</t>
  </si>
  <si>
    <t>Tháng 2</t>
  </si>
  <si>
    <t>Лют</t>
  </si>
  <si>
    <t>فروری</t>
  </si>
  <si>
    <t>آذار</t>
  </si>
  <si>
    <t>Մարտ</t>
  </si>
  <si>
    <t>Март</t>
  </si>
  <si>
    <t>三月</t>
  </si>
  <si>
    <t>Ožu</t>
  </si>
  <si>
    <t>Mrt</t>
  </si>
  <si>
    <t>Mars</t>
  </si>
  <si>
    <t>მარ</t>
  </si>
  <si>
    <t>Mrz</t>
  </si>
  <si>
    <t>Μαρ</t>
  </si>
  <si>
    <t>מרץ</t>
  </si>
  <si>
    <t>Már</t>
  </si>
  <si>
    <t>3월</t>
  </si>
  <si>
    <t>Kov</t>
  </si>
  <si>
    <t>Мар</t>
  </si>
  <si>
    <t>مارس</t>
  </si>
  <si>
    <t>mar</t>
  </si>
  <si>
    <t>มีนาคม</t>
  </si>
  <si>
    <t>Tháng 3</t>
  </si>
  <si>
    <t>Бер</t>
  </si>
  <si>
    <t>مارچ</t>
  </si>
  <si>
    <t>Apr</t>
  </si>
  <si>
    <t>Pri</t>
  </si>
  <si>
    <t>نيسان</t>
  </si>
  <si>
    <t>Ապրիլ</t>
  </si>
  <si>
    <t>Април</t>
  </si>
  <si>
    <t>Abr</t>
  </si>
  <si>
    <t>四月</t>
  </si>
  <si>
    <t>Tra</t>
  </si>
  <si>
    <t>Avr</t>
  </si>
  <si>
    <t>აპრ</t>
  </si>
  <si>
    <t>Απρ</t>
  </si>
  <si>
    <t>אפריל</t>
  </si>
  <si>
    <t>Ápr</t>
  </si>
  <si>
    <t>4월</t>
  </si>
  <si>
    <t>Bal</t>
  </si>
  <si>
    <t>Апр</t>
  </si>
  <si>
    <t>آوریل</t>
  </si>
  <si>
    <t>Kwi</t>
  </si>
  <si>
    <t>apr</t>
  </si>
  <si>
    <t>เมษายน</t>
  </si>
  <si>
    <t>Nis</t>
  </si>
  <si>
    <t>Tháng 4</t>
  </si>
  <si>
    <t>Квіт</t>
  </si>
  <si>
    <t>اپریل</t>
  </si>
  <si>
    <t>May</t>
  </si>
  <si>
    <t>Maj</t>
  </si>
  <si>
    <t>أياد</t>
  </si>
  <si>
    <t>Մայիս</t>
  </si>
  <si>
    <t>Май</t>
  </si>
  <si>
    <t>Mai</t>
  </si>
  <si>
    <t>五月</t>
  </si>
  <si>
    <t>Svi</t>
  </si>
  <si>
    <t>Mei</t>
  </si>
  <si>
    <t>მაი</t>
  </si>
  <si>
    <t>Μαϊ</t>
  </si>
  <si>
    <t>מאי</t>
  </si>
  <si>
    <t>Máj</t>
  </si>
  <si>
    <t>Maí</t>
  </si>
  <si>
    <t>Mag</t>
  </si>
  <si>
    <t>5월</t>
  </si>
  <si>
    <t>Geg</t>
  </si>
  <si>
    <t>Мај</t>
  </si>
  <si>
    <t>Mej</t>
  </si>
  <si>
    <t>می</t>
  </si>
  <si>
    <t>maj</t>
  </si>
  <si>
    <t>พฤษภาคม</t>
  </si>
  <si>
    <t>Tháng 5</t>
  </si>
  <si>
    <t>Трав</t>
  </si>
  <si>
    <t>مئی</t>
  </si>
  <si>
    <t>Jun</t>
  </si>
  <si>
    <t>Qer</t>
  </si>
  <si>
    <t>حزيران</t>
  </si>
  <si>
    <t>Հունիս</t>
  </si>
  <si>
    <t>İyn</t>
  </si>
  <si>
    <t>Юни</t>
  </si>
  <si>
    <t>六月</t>
  </si>
  <si>
    <t>Lip</t>
  </si>
  <si>
    <t>Čer</t>
  </si>
  <si>
    <t>Juin</t>
  </si>
  <si>
    <t>ივნ</t>
  </si>
  <si>
    <t>Ιουν</t>
  </si>
  <si>
    <t>יוני</t>
  </si>
  <si>
    <t>Jún</t>
  </si>
  <si>
    <t>Giu</t>
  </si>
  <si>
    <t>6월</t>
  </si>
  <si>
    <t>Birž</t>
  </si>
  <si>
    <t>Јун</t>
  </si>
  <si>
    <t>Ġun</t>
  </si>
  <si>
    <t>ژوئن</t>
  </si>
  <si>
    <t>Cze</t>
  </si>
  <si>
    <t>Iun</t>
  </si>
  <si>
    <t>Июн</t>
  </si>
  <si>
    <t>jun</t>
  </si>
  <si>
    <t>มิถุนายน</t>
  </si>
  <si>
    <t>Haz</t>
  </si>
  <si>
    <t>Tháng 6</t>
  </si>
  <si>
    <t>Черв</t>
  </si>
  <si>
    <t>جون</t>
  </si>
  <si>
    <t>Jul</t>
  </si>
  <si>
    <t>Kor</t>
  </si>
  <si>
    <t>تموز</t>
  </si>
  <si>
    <t>Հուլիս</t>
  </si>
  <si>
    <t>İyl</t>
  </si>
  <si>
    <t>Юли</t>
  </si>
  <si>
    <t>七月</t>
  </si>
  <si>
    <t>Srp</t>
  </si>
  <si>
    <t>Čec</t>
  </si>
  <si>
    <t>Juil</t>
  </si>
  <si>
    <t>ივლ</t>
  </si>
  <si>
    <t>Ιουλ</t>
  </si>
  <si>
    <t>יולי</t>
  </si>
  <si>
    <t>Júl</t>
  </si>
  <si>
    <t>Lug</t>
  </si>
  <si>
    <t>7월</t>
  </si>
  <si>
    <t>Lie</t>
  </si>
  <si>
    <t>Јул</t>
  </si>
  <si>
    <t>Lul</t>
  </si>
  <si>
    <t>ژولای</t>
  </si>
  <si>
    <t>Iul</t>
  </si>
  <si>
    <t>Июл</t>
  </si>
  <si>
    <t>jul</t>
  </si>
  <si>
    <t>กรกฎาคม</t>
  </si>
  <si>
    <t>Tem</t>
  </si>
  <si>
    <t>Tháng 7</t>
  </si>
  <si>
    <t>Лип</t>
  </si>
  <si>
    <t>جولائی</t>
  </si>
  <si>
    <t>Aug</t>
  </si>
  <si>
    <t>Gus</t>
  </si>
  <si>
    <t>آب</t>
  </si>
  <si>
    <t>Օգոս.</t>
  </si>
  <si>
    <t>Avq</t>
  </si>
  <si>
    <t>Август</t>
  </si>
  <si>
    <t>Ago</t>
  </si>
  <si>
    <t>八月</t>
  </si>
  <si>
    <t>Kol</t>
  </si>
  <si>
    <t>Août</t>
  </si>
  <si>
    <t>აგვ</t>
  </si>
  <si>
    <t>Αυγ</t>
  </si>
  <si>
    <t>אוגוסט</t>
  </si>
  <si>
    <t>Agu</t>
  </si>
  <si>
    <t>Ágú</t>
  </si>
  <si>
    <t>8월</t>
  </si>
  <si>
    <t>Rugp</t>
  </si>
  <si>
    <t>Авг</t>
  </si>
  <si>
    <t>Aww</t>
  </si>
  <si>
    <t>اگوست</t>
  </si>
  <si>
    <t>Się</t>
  </si>
  <si>
    <t>Avg</t>
  </si>
  <si>
    <t>สิงหาคม</t>
  </si>
  <si>
    <t>Ağu</t>
  </si>
  <si>
    <t>Tháng 8</t>
  </si>
  <si>
    <t>Серп</t>
  </si>
  <si>
    <t>اگست</t>
  </si>
  <si>
    <t>Sep</t>
  </si>
  <si>
    <t>Shta</t>
  </si>
  <si>
    <t>أيلول</t>
  </si>
  <si>
    <t>Սեպտ.</t>
  </si>
  <si>
    <t>Септември</t>
  </si>
  <si>
    <t>Set</t>
  </si>
  <si>
    <t>九月</t>
  </si>
  <si>
    <t>Ruj</t>
  </si>
  <si>
    <t>Sept</t>
  </si>
  <si>
    <t>სექ</t>
  </si>
  <si>
    <t>Σεπ</t>
  </si>
  <si>
    <t>ספטמבר</t>
  </si>
  <si>
    <t>Szep</t>
  </si>
  <si>
    <t>9월</t>
  </si>
  <si>
    <t>Rugs</t>
  </si>
  <si>
    <t>Сеп</t>
  </si>
  <si>
    <t>سپتامبر</t>
  </si>
  <si>
    <t>Wrz</t>
  </si>
  <si>
    <t>Сен</t>
  </si>
  <si>
    <t>sep</t>
  </si>
  <si>
    <t>กันยายน</t>
  </si>
  <si>
    <t>Eyl</t>
  </si>
  <si>
    <t>Tháng 9</t>
  </si>
  <si>
    <t>Вер</t>
  </si>
  <si>
    <t>ستمبر</t>
  </si>
  <si>
    <t>Oct</t>
  </si>
  <si>
    <t>Tet</t>
  </si>
  <si>
    <t>تشرين أول</t>
  </si>
  <si>
    <t>Հոկտ.</t>
  </si>
  <si>
    <t>Okt</t>
  </si>
  <si>
    <t>Октомври</t>
  </si>
  <si>
    <t>十月</t>
  </si>
  <si>
    <t>Lis</t>
  </si>
  <si>
    <t>ოქტ</t>
  </si>
  <si>
    <t>Οκτ</t>
  </si>
  <si>
    <t>אוקטובר</t>
  </si>
  <si>
    <t>Ott</t>
  </si>
  <si>
    <t>10월</t>
  </si>
  <si>
    <t>Spa</t>
  </si>
  <si>
    <t>Окт</t>
  </si>
  <si>
    <t>اکتبر</t>
  </si>
  <si>
    <t>Paź</t>
  </si>
  <si>
    <t>Out</t>
  </si>
  <si>
    <t>okt</t>
  </si>
  <si>
    <t>ตุลาคม</t>
  </si>
  <si>
    <t>Eki</t>
  </si>
  <si>
    <t>Tháng 10</t>
  </si>
  <si>
    <t>Жовт</t>
  </si>
  <si>
    <t>اکتوبر</t>
  </si>
  <si>
    <t>Nov</t>
  </si>
  <si>
    <t>Nën</t>
  </si>
  <si>
    <t>تشرين ثاني</t>
  </si>
  <si>
    <t>Նոյեմ.</t>
  </si>
  <si>
    <t>Noy</t>
  </si>
  <si>
    <t>Ноември</t>
  </si>
  <si>
    <t>十一月</t>
  </si>
  <si>
    <t>Stu</t>
  </si>
  <si>
    <t>ნოე</t>
  </si>
  <si>
    <t>Νοε</t>
  </si>
  <si>
    <t>נובמבר</t>
  </si>
  <si>
    <t>Nop</t>
  </si>
  <si>
    <t>Nóv</t>
  </si>
  <si>
    <t>11월</t>
  </si>
  <si>
    <t>Lapk</t>
  </si>
  <si>
    <t>Ное</t>
  </si>
  <si>
    <t>نوامبر</t>
  </si>
  <si>
    <t>Noi</t>
  </si>
  <si>
    <t>Ноя</t>
  </si>
  <si>
    <t>nov</t>
  </si>
  <si>
    <t>พฤศจิกายน</t>
  </si>
  <si>
    <t>Kas</t>
  </si>
  <si>
    <t>Tháng 11</t>
  </si>
  <si>
    <t>Лист</t>
  </si>
  <si>
    <t>نومبر</t>
  </si>
  <si>
    <t>Dec</t>
  </si>
  <si>
    <t>Dhj</t>
  </si>
  <si>
    <t>كانون أول</t>
  </si>
  <si>
    <t>Դեկտ.</t>
  </si>
  <si>
    <t>Dek</t>
  </si>
  <si>
    <t>Декември</t>
  </si>
  <si>
    <t>Des</t>
  </si>
  <si>
    <t>十二月</t>
  </si>
  <si>
    <t>Pro</t>
  </si>
  <si>
    <t>Déc</t>
  </si>
  <si>
    <t>დეკ</t>
  </si>
  <si>
    <t>Dez</t>
  </si>
  <si>
    <t>Δεκ</t>
  </si>
  <si>
    <t>דצמבר</t>
  </si>
  <si>
    <t>Dic</t>
  </si>
  <si>
    <t>12월</t>
  </si>
  <si>
    <t>Gruo</t>
  </si>
  <si>
    <t>Дек</t>
  </si>
  <si>
    <t>Deċ</t>
  </si>
  <si>
    <t>دسامبر</t>
  </si>
  <si>
    <t>Gru</t>
  </si>
  <si>
    <t>dec</t>
  </si>
  <si>
    <t>ธันวาคม</t>
  </si>
  <si>
    <t>Ara</t>
  </si>
  <si>
    <t>Tháng 12</t>
  </si>
  <si>
    <t>Груд</t>
  </si>
  <si>
    <t>دسمبر</t>
  </si>
  <si>
    <t>Team</t>
  </si>
  <si>
    <t>Ekipi</t>
  </si>
  <si>
    <t>المنتخب</t>
  </si>
  <si>
    <t>Հավաքական</t>
  </si>
  <si>
    <t>Komanda</t>
  </si>
  <si>
    <t>Отбор</t>
  </si>
  <si>
    <t>Equip</t>
  </si>
  <si>
    <t>球队</t>
  </si>
  <si>
    <t>隊伍</t>
  </si>
  <si>
    <t>Hold</t>
  </si>
  <si>
    <t>Équipe</t>
  </si>
  <si>
    <t>ნაკრები</t>
  </si>
  <si>
    <t>Ομάδα</t>
  </si>
  <si>
    <t>קבוצה</t>
  </si>
  <si>
    <t>Csapat</t>
  </si>
  <si>
    <t>Tim</t>
  </si>
  <si>
    <t>Lið</t>
  </si>
  <si>
    <t>Squadra</t>
  </si>
  <si>
    <t>팀</t>
  </si>
  <si>
    <t>Тим</t>
  </si>
  <si>
    <t>Lag</t>
  </si>
  <si>
    <t>تیم</t>
  </si>
  <si>
    <t>Drużyna</t>
  </si>
  <si>
    <t>Equipa</t>
  </si>
  <si>
    <t>Echipa</t>
  </si>
  <si>
    <t>Команда</t>
  </si>
  <si>
    <t>Reprezentacija</t>
  </si>
  <si>
    <t>Mužstvo</t>
  </si>
  <si>
    <t>Moštvo</t>
  </si>
  <si>
    <t>Equipo</t>
  </si>
  <si>
    <t>ทึม</t>
  </si>
  <si>
    <t>Takım</t>
  </si>
  <si>
    <t>Đội</t>
  </si>
  <si>
    <t>ٹیم</t>
  </si>
  <si>
    <t>Croatia</t>
  </si>
  <si>
    <t>Kroacia</t>
  </si>
  <si>
    <t>كرواتيا</t>
  </si>
  <si>
    <t>Խորվաթիա</t>
  </si>
  <si>
    <t>Xorvatiya</t>
  </si>
  <si>
    <t>Хърватия</t>
  </si>
  <si>
    <t>Croàcia</t>
  </si>
  <si>
    <t>克罗地亚</t>
  </si>
  <si>
    <t>克羅地亞</t>
  </si>
  <si>
    <t>Hrvatska</t>
  </si>
  <si>
    <t>Chorvatsko</t>
  </si>
  <si>
    <t>Kroatien</t>
  </si>
  <si>
    <t>Kroatië</t>
  </si>
  <si>
    <t>Croatie</t>
  </si>
  <si>
    <t>ხორვატია</t>
  </si>
  <si>
    <t>Κροατία</t>
  </si>
  <si>
    <t>קרואטיה</t>
  </si>
  <si>
    <t>Horvátország</t>
  </si>
  <si>
    <t>Kroasia</t>
  </si>
  <si>
    <t>Croazia</t>
  </si>
  <si>
    <t>크로아티아</t>
  </si>
  <si>
    <t>Kroatija</t>
  </si>
  <si>
    <t>хрватска</t>
  </si>
  <si>
    <t>Kroazja</t>
  </si>
  <si>
    <t>Kroatia</t>
  </si>
  <si>
    <t>کرواسی</t>
  </si>
  <si>
    <t>Chorwacja</t>
  </si>
  <si>
    <t>Croácia</t>
  </si>
  <si>
    <t>Croația</t>
  </si>
  <si>
    <t>Хорватия</t>
  </si>
  <si>
    <t>Хрватска</t>
  </si>
  <si>
    <t>Hrvaška</t>
  </si>
  <si>
    <t>Croacia</t>
  </si>
  <si>
    <t>โครเอเชีย</t>
  </si>
  <si>
    <t>Hırvatistan</t>
  </si>
  <si>
    <t>Хорватія</t>
  </si>
  <si>
    <t>کروشیا</t>
  </si>
  <si>
    <t>Mexico</t>
  </si>
  <si>
    <t>Meksikë</t>
  </si>
  <si>
    <t>المكسيك</t>
  </si>
  <si>
    <t>Մեքսիկա</t>
  </si>
  <si>
    <t>Meksika</t>
  </si>
  <si>
    <t>Мексико</t>
  </si>
  <si>
    <t>Mèxic</t>
  </si>
  <si>
    <t>墨西哥</t>
  </si>
  <si>
    <t>Meksiko</t>
  </si>
  <si>
    <t>Mexiko</t>
  </si>
  <si>
    <t>Mexique</t>
  </si>
  <si>
    <t>Μεξικό</t>
  </si>
  <si>
    <t>מקסיקו</t>
  </si>
  <si>
    <t>Mexikó</t>
  </si>
  <si>
    <t>mexico</t>
  </si>
  <si>
    <t>Messico</t>
  </si>
  <si>
    <t>멕시코</t>
  </si>
  <si>
    <t>Messiku</t>
  </si>
  <si>
    <t>مکزیک</t>
  </si>
  <si>
    <t>Meksyk</t>
  </si>
  <si>
    <t>México</t>
  </si>
  <si>
    <t>Mexic</t>
  </si>
  <si>
    <t>Мексика</t>
  </si>
  <si>
    <t>ประเทศเม็กซิโก</t>
  </si>
  <si>
    <t>میکسیکو</t>
  </si>
  <si>
    <t>Uruguay</t>
  </si>
  <si>
    <t>أوروغواي</t>
  </si>
  <si>
    <t>Ուրուգվայ</t>
  </si>
  <si>
    <t>Uruqvay</t>
  </si>
  <si>
    <t>Уругвай</t>
  </si>
  <si>
    <t>Uruguai</t>
  </si>
  <si>
    <t>乌拉圭</t>
  </si>
  <si>
    <t>烏拉圭</t>
  </si>
  <si>
    <t>Urugvaj</t>
  </si>
  <si>
    <t>ურუგვაის</t>
  </si>
  <si>
    <t>Ουρουγουάη</t>
  </si>
  <si>
    <t>אורוגוואי</t>
  </si>
  <si>
    <t>우루과이</t>
  </si>
  <si>
    <t>Urugvajus</t>
  </si>
  <si>
    <t>Уругвајската</t>
  </si>
  <si>
    <t>Urugwaj</t>
  </si>
  <si>
    <t>اروگوئه</t>
  </si>
  <si>
    <t>Уругвај</t>
  </si>
  <si>
    <t>Uruguaj</t>
  </si>
  <si>
    <t>ประเทศอุรุกวัย</t>
  </si>
  <si>
    <t>یوراگوئے</t>
  </si>
  <si>
    <t>France</t>
  </si>
  <si>
    <t>Francë</t>
  </si>
  <si>
    <t>فرنسا</t>
  </si>
  <si>
    <t>Fransa</t>
  </si>
  <si>
    <t>Франция</t>
  </si>
  <si>
    <t>França</t>
  </si>
  <si>
    <t>法国</t>
  </si>
  <si>
    <t>法國</t>
  </si>
  <si>
    <t>Francuska</t>
  </si>
  <si>
    <t>Francie</t>
  </si>
  <si>
    <t>Frankrig</t>
  </si>
  <si>
    <t>Frankrijk</t>
  </si>
  <si>
    <t>Frankreich</t>
  </si>
  <si>
    <t>Γαλλία</t>
  </si>
  <si>
    <t>צרפת</t>
  </si>
  <si>
    <t>Franciaország</t>
  </si>
  <si>
    <t>Perancis</t>
  </si>
  <si>
    <t>Francia</t>
  </si>
  <si>
    <t>프랑스</t>
  </si>
  <si>
    <t>Prancūzija</t>
  </si>
  <si>
    <t>Франција</t>
  </si>
  <si>
    <t>Franza</t>
  </si>
  <si>
    <t>Frankrike</t>
  </si>
  <si>
    <t>فرانسه</t>
  </si>
  <si>
    <t>Francja</t>
  </si>
  <si>
    <t>Franța</t>
  </si>
  <si>
    <t>Француска</t>
  </si>
  <si>
    <t>ฝรั่งเศส</t>
  </si>
  <si>
    <t>Pháp</t>
  </si>
  <si>
    <t>Франція</t>
  </si>
  <si>
    <t>فرانس</t>
  </si>
  <si>
    <t>Argentina</t>
  </si>
  <si>
    <t>Argjentinë</t>
  </si>
  <si>
    <t>الأرجنتين</t>
  </si>
  <si>
    <t>Արգենտինա</t>
  </si>
  <si>
    <t>Аржентина</t>
  </si>
  <si>
    <t>阿根廷</t>
  </si>
  <si>
    <t>Argentinië</t>
  </si>
  <si>
    <t>Argentine</t>
  </si>
  <si>
    <t>არგენტინის</t>
  </si>
  <si>
    <t>Argentinien</t>
  </si>
  <si>
    <t>Αργεντινή</t>
  </si>
  <si>
    <t>ארגנטינה</t>
  </si>
  <si>
    <t>Argentína</t>
  </si>
  <si>
    <t>아르헨티나</t>
  </si>
  <si>
    <t>Аргентина</t>
  </si>
  <si>
    <t>Arġentina</t>
  </si>
  <si>
    <t>آرژانتین</t>
  </si>
  <si>
    <t>Argentyna</t>
  </si>
  <si>
    <t>อาร์เจนตินา</t>
  </si>
  <si>
    <t>Arjantin</t>
  </si>
  <si>
    <t>ارجنٹینا</t>
  </si>
  <si>
    <t>Nigeria</t>
  </si>
  <si>
    <t>Nigeri</t>
  </si>
  <si>
    <t>نيجيريا</t>
  </si>
  <si>
    <t>Նիգերիա</t>
  </si>
  <si>
    <t>Нигерия</t>
  </si>
  <si>
    <t>Nigèria</t>
  </si>
  <si>
    <t>尼日利亚</t>
  </si>
  <si>
    <t>尼日利亞</t>
  </si>
  <si>
    <t>Nigerija</t>
  </si>
  <si>
    <t>Nigérie</t>
  </si>
  <si>
    <t>ნიგერიის</t>
  </si>
  <si>
    <t>Νιγηρία</t>
  </si>
  <si>
    <t>ניגריה</t>
  </si>
  <si>
    <t>Nigéria</t>
  </si>
  <si>
    <t>Nígería</t>
  </si>
  <si>
    <t>나이지리아</t>
  </si>
  <si>
    <t>Нигерија</t>
  </si>
  <si>
    <t>Niġerja</t>
  </si>
  <si>
    <t>نیجریه</t>
  </si>
  <si>
    <t>ไนจีเรีย</t>
  </si>
  <si>
    <t>Nijerya</t>
  </si>
  <si>
    <t>Нігерія</t>
  </si>
  <si>
    <t>نائیجیریا</t>
  </si>
  <si>
    <t>Korea Republic</t>
  </si>
  <si>
    <t>جمهورية كوريا</t>
  </si>
  <si>
    <t>Կորեայի Հանրապետություն</t>
  </si>
  <si>
    <t>Koreya Respublikası</t>
  </si>
  <si>
    <t>Република Корея</t>
  </si>
  <si>
    <t>República de Corea</t>
  </si>
  <si>
    <t>韩国</t>
  </si>
  <si>
    <t>韓國</t>
  </si>
  <si>
    <t>Južna Koreja</t>
  </si>
  <si>
    <t>Jižní Korea</t>
  </si>
  <si>
    <t>Sydkorea</t>
  </si>
  <si>
    <t>Zuid-Korea</t>
  </si>
  <si>
    <t>République de Corée</t>
  </si>
  <si>
    <t>კორეის რესპუბლიკა</t>
  </si>
  <si>
    <t>Korea Republik</t>
  </si>
  <si>
    <t>Δημοκρατία της Κορέας</t>
  </si>
  <si>
    <t>קוריאה רפובליקה</t>
  </si>
  <si>
    <t>Dél-Korea</t>
  </si>
  <si>
    <t>Republik Korea</t>
  </si>
  <si>
    <t>Kórea</t>
  </si>
  <si>
    <t>Corea del Sud</t>
  </si>
  <si>
    <t>한국</t>
  </si>
  <si>
    <t>Korėjos Respublika</t>
  </si>
  <si>
    <t>Кореја Република</t>
  </si>
  <si>
    <t>Korea Repubblika</t>
  </si>
  <si>
    <t>Sør-Korea</t>
  </si>
  <si>
    <t>کره جنوبی</t>
  </si>
  <si>
    <t>Korea Południowa</t>
  </si>
  <si>
    <t>República da Coréia</t>
  </si>
  <si>
    <t>Coreea de Sud</t>
  </si>
  <si>
    <t>Южная Корея</t>
  </si>
  <si>
    <t>Република Кореја</t>
  </si>
  <si>
    <t>เกาหลีใต้</t>
  </si>
  <si>
    <t>Kore Cumhuriyeti</t>
  </si>
  <si>
    <t>Hàn Quốc</t>
  </si>
  <si>
    <t>Південна Корея</t>
  </si>
  <si>
    <t>جمہوریہ کوریا</t>
  </si>
  <si>
    <t>England</t>
  </si>
  <si>
    <t>Angli</t>
  </si>
  <si>
    <t>انجلترا</t>
  </si>
  <si>
    <t>Անգլիա</t>
  </si>
  <si>
    <t>İngiltərə</t>
  </si>
  <si>
    <t>Англия</t>
  </si>
  <si>
    <t>Anglaterra</t>
  </si>
  <si>
    <t>英国</t>
  </si>
  <si>
    <t>英國</t>
  </si>
  <si>
    <t>Engleska</t>
  </si>
  <si>
    <t>Anglie</t>
  </si>
  <si>
    <t>Engeland</t>
  </si>
  <si>
    <t>Angleterre</t>
  </si>
  <si>
    <t>Αγγλία</t>
  </si>
  <si>
    <t>אנגליה</t>
  </si>
  <si>
    <t>Anglia</t>
  </si>
  <si>
    <t>Inggris</t>
  </si>
  <si>
    <t>Inghilterra</t>
  </si>
  <si>
    <t>영국</t>
  </si>
  <si>
    <t>Anglija</t>
  </si>
  <si>
    <t>Англија</t>
  </si>
  <si>
    <t>Ingilterra</t>
  </si>
  <si>
    <t>انگلستان</t>
  </si>
  <si>
    <t>Inglaterra</t>
  </si>
  <si>
    <t>Енглеска</t>
  </si>
  <si>
    <t>Anglicko</t>
  </si>
  <si>
    <t>อังกฤษ</t>
  </si>
  <si>
    <t>İngiltere</t>
  </si>
  <si>
    <t>Anh</t>
  </si>
  <si>
    <t>Англія</t>
  </si>
  <si>
    <t>انگلینڈ</t>
  </si>
  <si>
    <t>Russia</t>
  </si>
  <si>
    <t>Rusi</t>
  </si>
  <si>
    <t>روسيا</t>
  </si>
  <si>
    <t>Ռուսաստան</t>
  </si>
  <si>
    <t>Rusiya</t>
  </si>
  <si>
    <t>Русия</t>
  </si>
  <si>
    <t>Rússia</t>
  </si>
  <si>
    <t>俄国</t>
  </si>
  <si>
    <t>俄國</t>
  </si>
  <si>
    <t>Rusija</t>
  </si>
  <si>
    <t>Rusko</t>
  </si>
  <si>
    <t>Rusland</t>
  </si>
  <si>
    <t>Russie</t>
  </si>
  <si>
    <t>რუსეთის</t>
  </si>
  <si>
    <t>Russland</t>
  </si>
  <si>
    <t>Ρωσία</t>
  </si>
  <si>
    <t>רוסיה</t>
  </si>
  <si>
    <t>Oroszország</t>
  </si>
  <si>
    <t>Rusia</t>
  </si>
  <si>
    <t>러시아</t>
  </si>
  <si>
    <t>Русија</t>
  </si>
  <si>
    <t>Russja</t>
  </si>
  <si>
    <t>روسیه،</t>
  </si>
  <si>
    <t>Rosja</t>
  </si>
  <si>
    <t>Россия</t>
  </si>
  <si>
    <t>Ryssland</t>
  </si>
  <si>
    <t>ประเทศรัสเซีย</t>
  </si>
  <si>
    <t>Rusya</t>
  </si>
  <si>
    <t>Nga</t>
  </si>
  <si>
    <t>Росія</t>
  </si>
  <si>
    <t>روس</t>
  </si>
  <si>
    <t>Germany</t>
  </si>
  <si>
    <t>Gjermani</t>
  </si>
  <si>
    <t>ألمانيا</t>
  </si>
  <si>
    <t>Գերմանիա</t>
  </si>
  <si>
    <t>Almaniya</t>
  </si>
  <si>
    <t>Германия</t>
  </si>
  <si>
    <t>Alemanya</t>
  </si>
  <si>
    <t>德国</t>
  </si>
  <si>
    <t>德國</t>
  </si>
  <si>
    <t>Njemačka</t>
  </si>
  <si>
    <t>Německo</t>
  </si>
  <si>
    <t>Tyskland</t>
  </si>
  <si>
    <t>Duitsland</t>
  </si>
  <si>
    <t>Allemagne</t>
  </si>
  <si>
    <t>Deutschland</t>
  </si>
  <si>
    <t>Γερμανία</t>
  </si>
  <si>
    <t>גרמניה</t>
  </si>
  <si>
    <t>Németország</t>
  </si>
  <si>
    <t>Jerman</t>
  </si>
  <si>
    <t>Þýskaland</t>
  </si>
  <si>
    <t>Germania</t>
  </si>
  <si>
    <t>독일</t>
  </si>
  <si>
    <t>Vokietija</t>
  </si>
  <si>
    <t>германија</t>
  </si>
  <si>
    <t>Ġermanja</t>
  </si>
  <si>
    <t>آلمان</t>
  </si>
  <si>
    <t>Niemcy</t>
  </si>
  <si>
    <t>Alemanha</t>
  </si>
  <si>
    <t>Немачка</t>
  </si>
  <si>
    <t>Nemčija</t>
  </si>
  <si>
    <t>Alemania</t>
  </si>
  <si>
    <t>ประเทศเยอรมัน</t>
  </si>
  <si>
    <t>Almanya</t>
  </si>
  <si>
    <t>Đức</t>
  </si>
  <si>
    <t>Німеччина</t>
  </si>
  <si>
    <t>جرمنی</t>
  </si>
  <si>
    <t>Australia</t>
  </si>
  <si>
    <t>Australi</t>
  </si>
  <si>
    <t>أستراليا</t>
  </si>
  <si>
    <t>Ավստրալիա</t>
  </si>
  <si>
    <t>Avstraliya</t>
  </si>
  <si>
    <t>Австралия</t>
  </si>
  <si>
    <t>Austràlia</t>
  </si>
  <si>
    <t>澳大利亚</t>
  </si>
  <si>
    <t>澳大利亞</t>
  </si>
  <si>
    <t>Australija</t>
  </si>
  <si>
    <t>Austrálie</t>
  </si>
  <si>
    <t>Australien</t>
  </si>
  <si>
    <t>Australië</t>
  </si>
  <si>
    <t>Australie</t>
  </si>
  <si>
    <t>ავსტრალიაში</t>
  </si>
  <si>
    <t>Αυστραλία</t>
  </si>
  <si>
    <t>אוסטרליה</t>
  </si>
  <si>
    <t>Ausztrália</t>
  </si>
  <si>
    <t>호주</t>
  </si>
  <si>
    <t>Австралија</t>
  </si>
  <si>
    <t>Awstralja</t>
  </si>
  <si>
    <t>استرالیا</t>
  </si>
  <si>
    <t>Austrália</t>
  </si>
  <si>
    <t>Аустралија</t>
  </si>
  <si>
    <t>Avstralija</t>
  </si>
  <si>
    <t>ออสเตรเลีย</t>
  </si>
  <si>
    <t>Avustralya</t>
  </si>
  <si>
    <t>Úc</t>
  </si>
  <si>
    <t>Австралія</t>
  </si>
  <si>
    <t>آسٹریلیا</t>
  </si>
  <si>
    <t>Colombia</t>
  </si>
  <si>
    <t>Kolumbi</t>
  </si>
  <si>
    <t>كولومبيا</t>
  </si>
  <si>
    <t>Կոլումբիա</t>
  </si>
  <si>
    <t>Kolumbiya</t>
  </si>
  <si>
    <t>Колумбия</t>
  </si>
  <si>
    <t>Colòmbia</t>
  </si>
  <si>
    <t>哥伦比亚</t>
  </si>
  <si>
    <t>哥倫比亞</t>
  </si>
  <si>
    <t>Kolumbija</t>
  </si>
  <si>
    <t>Kolumbie</t>
  </si>
  <si>
    <t>Colombie</t>
  </si>
  <si>
    <t>Kolumbien</t>
  </si>
  <si>
    <t>Κολομβία</t>
  </si>
  <si>
    <t>קולומביה</t>
  </si>
  <si>
    <t>Kolumbia</t>
  </si>
  <si>
    <t>콜롬비아</t>
  </si>
  <si>
    <t>Колумбија</t>
  </si>
  <si>
    <t>Kolombja</t>
  </si>
  <si>
    <t>کلمبیا</t>
  </si>
  <si>
    <t>Colômbia</t>
  </si>
  <si>
    <t>Columbia</t>
  </si>
  <si>
    <t>ประเทศโคลอมเบีย</t>
  </si>
  <si>
    <t>Kolombiya</t>
  </si>
  <si>
    <t>Колумбія</t>
  </si>
  <si>
    <t>کولمبیا</t>
  </si>
  <si>
    <t>Costa Rica</t>
  </si>
  <si>
    <t>Kostarikë</t>
  </si>
  <si>
    <t>كوستاريكا</t>
  </si>
  <si>
    <t>Կոստա - Ռիկա</t>
  </si>
  <si>
    <t>哥斯达黎加</t>
  </si>
  <si>
    <t>哥斯達黎加</t>
  </si>
  <si>
    <t>Kostarika</t>
  </si>
  <si>
    <t>კოსტა რიკის</t>
  </si>
  <si>
    <t>Κόστα Ρίκα</t>
  </si>
  <si>
    <t>קוסטה ריקה</t>
  </si>
  <si>
    <t>Kosta Rika</t>
  </si>
  <si>
    <t>Costarica</t>
  </si>
  <si>
    <t>코스타리카</t>
  </si>
  <si>
    <t>Коста Рика</t>
  </si>
  <si>
    <t>کاستاریکا</t>
  </si>
  <si>
    <t>Kostaryka</t>
  </si>
  <si>
    <t>Коста-Рика</t>
  </si>
  <si>
    <t>Костарика</t>
  </si>
  <si>
    <t>COSTA RICA</t>
  </si>
  <si>
    <t>คอสตาริกา</t>
  </si>
  <si>
    <t>Коста -Ріка</t>
  </si>
  <si>
    <t>کوسٹا ریکا</t>
  </si>
  <si>
    <t>Japan</t>
  </si>
  <si>
    <t>Japonia</t>
  </si>
  <si>
    <t>اليابان</t>
  </si>
  <si>
    <t>Ճապոնիա</t>
  </si>
  <si>
    <t>Yaponiya</t>
  </si>
  <si>
    <t>Япония</t>
  </si>
  <si>
    <t>Japó</t>
  </si>
  <si>
    <t>日本</t>
  </si>
  <si>
    <t>Japonsko</t>
  </si>
  <si>
    <t>Japon</t>
  </si>
  <si>
    <t>იაპონია</t>
  </si>
  <si>
    <t>Ιαπωνία</t>
  </si>
  <si>
    <t>יפן</t>
  </si>
  <si>
    <t>Japán</t>
  </si>
  <si>
    <t>Jepang</t>
  </si>
  <si>
    <t>Giappone</t>
  </si>
  <si>
    <t>일본</t>
  </si>
  <si>
    <t>Japonija</t>
  </si>
  <si>
    <t>Јапонија</t>
  </si>
  <si>
    <t>Ġappun</t>
  </si>
  <si>
    <t>ژاپن</t>
  </si>
  <si>
    <t>Japão</t>
  </si>
  <si>
    <t>Japonska</t>
  </si>
  <si>
    <t>Japón</t>
  </si>
  <si>
    <t>ญี่ปุ่น</t>
  </si>
  <si>
    <t>Japonya</t>
  </si>
  <si>
    <t>Nhật Bản</t>
  </si>
  <si>
    <t>Японія</t>
  </si>
  <si>
    <t>جاپان</t>
  </si>
  <si>
    <t>Iran</t>
  </si>
  <si>
    <t>ايران</t>
  </si>
  <si>
    <t>Իրան</t>
  </si>
  <si>
    <t>İran</t>
  </si>
  <si>
    <t>Иран</t>
  </si>
  <si>
    <t>伊朗</t>
  </si>
  <si>
    <t>Írán</t>
  </si>
  <si>
    <t>ირანის</t>
  </si>
  <si>
    <t>Ιράν</t>
  </si>
  <si>
    <t>אירן</t>
  </si>
  <si>
    <t>Irán</t>
  </si>
  <si>
    <t>Íran</t>
  </si>
  <si>
    <t>이란</t>
  </si>
  <si>
    <t>Iranas</t>
  </si>
  <si>
    <t>ایران</t>
  </si>
  <si>
    <t>Irã</t>
  </si>
  <si>
    <t>อิหร่าน</t>
  </si>
  <si>
    <t>Іран</t>
  </si>
  <si>
    <t>Brazil</t>
  </si>
  <si>
    <t>Brazili</t>
  </si>
  <si>
    <t>البرازيل</t>
  </si>
  <si>
    <t>Բրազիլիա</t>
  </si>
  <si>
    <t>Braziliya</t>
  </si>
  <si>
    <t>Бразилия</t>
  </si>
  <si>
    <t>Brasil</t>
  </si>
  <si>
    <t>巴西</t>
  </si>
  <si>
    <t>Brazílie</t>
  </si>
  <si>
    <t>Brasilien</t>
  </si>
  <si>
    <t>Brazilië</t>
  </si>
  <si>
    <t>Brésil</t>
  </si>
  <si>
    <t>ბრაზილია</t>
  </si>
  <si>
    <t>Βραζιλία</t>
  </si>
  <si>
    <t>ברזיל</t>
  </si>
  <si>
    <t>Brazília</t>
  </si>
  <si>
    <t>Brasilía</t>
  </si>
  <si>
    <t>Brasile</t>
  </si>
  <si>
    <t>브라질</t>
  </si>
  <si>
    <t>Brazilija</t>
  </si>
  <si>
    <t>Бразил</t>
  </si>
  <si>
    <t>Brażil</t>
  </si>
  <si>
    <t>برزیل</t>
  </si>
  <si>
    <t>Brazylia</t>
  </si>
  <si>
    <t>Brazilia</t>
  </si>
  <si>
    <t>บราซิล</t>
  </si>
  <si>
    <t>Brezilya</t>
  </si>
  <si>
    <t>B-ra-xin</t>
  </si>
  <si>
    <t>Бразилія</t>
  </si>
  <si>
    <t>برازیل</t>
  </si>
  <si>
    <t>Belgium</t>
  </si>
  <si>
    <t>Belgjikë</t>
  </si>
  <si>
    <t>بلجيكا</t>
  </si>
  <si>
    <t>Բելգիա</t>
  </si>
  <si>
    <t>Belçika</t>
  </si>
  <si>
    <t>Белгия</t>
  </si>
  <si>
    <t>Bèlgica</t>
  </si>
  <si>
    <t>比利时</t>
  </si>
  <si>
    <t>比利時</t>
  </si>
  <si>
    <t>Belgija</t>
  </si>
  <si>
    <t>Belgie</t>
  </si>
  <si>
    <t>Belgien</t>
  </si>
  <si>
    <t>België</t>
  </si>
  <si>
    <t>Belgique</t>
  </si>
  <si>
    <t>ბელგიის</t>
  </si>
  <si>
    <t>Βέλγιο</t>
  </si>
  <si>
    <t>בלגיה</t>
  </si>
  <si>
    <t>Belgia</t>
  </si>
  <si>
    <t>Belgio</t>
  </si>
  <si>
    <t>벨기에</t>
  </si>
  <si>
    <t>белгија</t>
  </si>
  <si>
    <t>بلژیک</t>
  </si>
  <si>
    <t>Bélgica</t>
  </si>
  <si>
    <t>Бельгия</t>
  </si>
  <si>
    <t>Белгија</t>
  </si>
  <si>
    <t>belgicko</t>
  </si>
  <si>
    <t>เบลเยี่ยม</t>
  </si>
  <si>
    <t>Bỉ</t>
  </si>
  <si>
    <t>Бельгія</t>
  </si>
  <si>
    <t>بیلجئیم</t>
  </si>
  <si>
    <t>Portugal</t>
  </si>
  <si>
    <t>Portugali</t>
  </si>
  <si>
    <t>البرتغال</t>
  </si>
  <si>
    <t>Պորտուգալիա</t>
  </si>
  <si>
    <t>Portuqaliya</t>
  </si>
  <si>
    <t>Португалия</t>
  </si>
  <si>
    <t>葡萄牙</t>
  </si>
  <si>
    <t>Portugalija</t>
  </si>
  <si>
    <t>Portugalsko</t>
  </si>
  <si>
    <t>პორტუგალიის</t>
  </si>
  <si>
    <t>Πορτογαλία</t>
  </si>
  <si>
    <t>פורטוגל</t>
  </si>
  <si>
    <t>Portugália</t>
  </si>
  <si>
    <t>Portogallo</t>
  </si>
  <si>
    <t>포르투갈</t>
  </si>
  <si>
    <t>Португалија</t>
  </si>
  <si>
    <t>Portugall</t>
  </si>
  <si>
    <t>پرتغال</t>
  </si>
  <si>
    <t>Portugalia</t>
  </si>
  <si>
    <t>Portugalska</t>
  </si>
  <si>
    <t>โปรตุเกส</t>
  </si>
  <si>
    <t>Portekiz</t>
  </si>
  <si>
    <t>Bồ Đào Nha</t>
  </si>
  <si>
    <t>Португалія</t>
  </si>
  <si>
    <t>پرتگال</t>
  </si>
  <si>
    <t>Spain</t>
  </si>
  <si>
    <t>Spanjë</t>
  </si>
  <si>
    <t>إسبانيا</t>
  </si>
  <si>
    <t>Իսպանիա</t>
  </si>
  <si>
    <t>İspaniya</t>
  </si>
  <si>
    <t>Испания</t>
  </si>
  <si>
    <t>Espanya</t>
  </si>
  <si>
    <t>西班牙</t>
  </si>
  <si>
    <t>Španjolska</t>
  </si>
  <si>
    <t>Španělsko</t>
  </si>
  <si>
    <t>Spanien</t>
  </si>
  <si>
    <t>Spanje</t>
  </si>
  <si>
    <t>Espagne</t>
  </si>
  <si>
    <t>ესპანეთში</t>
  </si>
  <si>
    <t>Ισπανία</t>
  </si>
  <si>
    <t>ספרד</t>
  </si>
  <si>
    <t>Spanyolország</t>
  </si>
  <si>
    <t>Spanyol</t>
  </si>
  <si>
    <t>spain</t>
  </si>
  <si>
    <t>Spagna</t>
  </si>
  <si>
    <t>스페인</t>
  </si>
  <si>
    <t>Ispanija</t>
  </si>
  <si>
    <t>Шпанија</t>
  </si>
  <si>
    <t>Spanja</t>
  </si>
  <si>
    <t>Spania</t>
  </si>
  <si>
    <t>کشور اسپانیا</t>
  </si>
  <si>
    <t>Hiszpania</t>
  </si>
  <si>
    <t>Espanha</t>
  </si>
  <si>
    <t>španielsko</t>
  </si>
  <si>
    <t>Španija</t>
  </si>
  <si>
    <t>España</t>
  </si>
  <si>
    <t>สเปน</t>
  </si>
  <si>
    <t>İspanya</t>
  </si>
  <si>
    <t>Tây ban nha</t>
  </si>
  <si>
    <t>Іспанія</t>
  </si>
  <si>
    <t>سپین</t>
  </si>
  <si>
    <t>Switzerland</t>
  </si>
  <si>
    <t>Zvicër</t>
  </si>
  <si>
    <t>سويسرا</t>
  </si>
  <si>
    <t>Շվեյցարիա</t>
  </si>
  <si>
    <t>İsveçrə</t>
  </si>
  <si>
    <t>Швейцария</t>
  </si>
  <si>
    <t>Suïssa</t>
  </si>
  <si>
    <t>瑞士</t>
  </si>
  <si>
    <t>Švajcarska</t>
  </si>
  <si>
    <t>Švýcarsko</t>
  </si>
  <si>
    <t>Schweiz</t>
  </si>
  <si>
    <t>Zwitserland</t>
  </si>
  <si>
    <t>Suisse</t>
  </si>
  <si>
    <t>Ελβετία</t>
  </si>
  <si>
    <t>שוויץ</t>
  </si>
  <si>
    <t>Svájc</t>
  </si>
  <si>
    <t>Swiss</t>
  </si>
  <si>
    <t>Sviss</t>
  </si>
  <si>
    <t>Svizzera</t>
  </si>
  <si>
    <t>스위스</t>
  </si>
  <si>
    <t>Šveicarija</t>
  </si>
  <si>
    <t>Швајцарија</t>
  </si>
  <si>
    <t>Isvizzera</t>
  </si>
  <si>
    <t>Sveits</t>
  </si>
  <si>
    <t>سویس</t>
  </si>
  <si>
    <t>Szwajcaria</t>
  </si>
  <si>
    <t>Suíça</t>
  </si>
  <si>
    <t>Elveția</t>
  </si>
  <si>
    <t>Швајцарска</t>
  </si>
  <si>
    <t>švajčiarsko</t>
  </si>
  <si>
    <t>Švica</t>
  </si>
  <si>
    <t>Suiza</t>
  </si>
  <si>
    <t>ประเทศสวิสเซอร์แลนด์</t>
  </si>
  <si>
    <t>İsviçre</t>
  </si>
  <si>
    <t>Thụy Sĩ</t>
  </si>
  <si>
    <t>Швейцарія</t>
  </si>
  <si>
    <t>سوئٹزرلینڈ</t>
  </si>
  <si>
    <t>1A</t>
  </si>
  <si>
    <t>A1</t>
  </si>
  <si>
    <t>A 그룹 1위</t>
  </si>
  <si>
    <t>اول گروه A</t>
  </si>
  <si>
    <t>ที่ 1 สาย A</t>
  </si>
  <si>
    <t>۱الف</t>
  </si>
  <si>
    <t>2A</t>
  </si>
  <si>
    <t>A2</t>
  </si>
  <si>
    <t>A 그룹 2위</t>
  </si>
  <si>
    <t>دوم گروه A</t>
  </si>
  <si>
    <t>ที่ 2 สาย A</t>
  </si>
  <si>
    <t>۲الف</t>
  </si>
  <si>
    <t>1B</t>
  </si>
  <si>
    <t>B1</t>
  </si>
  <si>
    <t>B 그룹 1위</t>
  </si>
  <si>
    <t>اول گروه B</t>
  </si>
  <si>
    <t>ที่ 1 สาย B</t>
  </si>
  <si>
    <t>۱ب</t>
  </si>
  <si>
    <t>2B</t>
  </si>
  <si>
    <t>B2</t>
  </si>
  <si>
    <t>B 그룹 2위</t>
  </si>
  <si>
    <t>دوم گروهB</t>
  </si>
  <si>
    <t>ที่ 2 สาย B</t>
  </si>
  <si>
    <t>۲ب</t>
  </si>
  <si>
    <t>1C</t>
  </si>
  <si>
    <t>C1</t>
  </si>
  <si>
    <t>1Γ</t>
  </si>
  <si>
    <t>C 그룹 1위</t>
  </si>
  <si>
    <t>1Ċ</t>
  </si>
  <si>
    <t>اول گروه C</t>
  </si>
  <si>
    <t>ที่ 1 สาย C</t>
  </si>
  <si>
    <t>۱ج</t>
  </si>
  <si>
    <t>2C</t>
  </si>
  <si>
    <t>C2</t>
  </si>
  <si>
    <t>2Γ</t>
  </si>
  <si>
    <t>C 그룹 2위</t>
  </si>
  <si>
    <t>2Ċ</t>
  </si>
  <si>
    <t>دوم گروه C</t>
  </si>
  <si>
    <t>ที่ 2 สาย C</t>
  </si>
  <si>
    <t>۲ج</t>
  </si>
  <si>
    <t>1D</t>
  </si>
  <si>
    <t>D1</t>
  </si>
  <si>
    <t>1Δ</t>
  </si>
  <si>
    <t>D 그룹 1위</t>
  </si>
  <si>
    <t>اول گروه D</t>
  </si>
  <si>
    <t>ที่ 1 สาย D</t>
  </si>
  <si>
    <t>۱د</t>
  </si>
  <si>
    <t>2D</t>
  </si>
  <si>
    <t>D2</t>
  </si>
  <si>
    <t>2Δ</t>
  </si>
  <si>
    <t>D 그룹 2위</t>
  </si>
  <si>
    <t>دوم گروه D</t>
  </si>
  <si>
    <t>ที่ 2 สาย D</t>
  </si>
  <si>
    <t>۲د</t>
  </si>
  <si>
    <t>1E</t>
  </si>
  <si>
    <t>E1</t>
  </si>
  <si>
    <t>1Ε</t>
  </si>
  <si>
    <t>E 그룹 1위</t>
  </si>
  <si>
    <t>اول گروه E</t>
  </si>
  <si>
    <t>ที่ 1 สาย E</t>
  </si>
  <si>
    <t>۱ھ</t>
  </si>
  <si>
    <t>2E</t>
  </si>
  <si>
    <t>E2</t>
  </si>
  <si>
    <t>2Ε</t>
  </si>
  <si>
    <t>E 그룹 2위</t>
  </si>
  <si>
    <t>دوم گروه E</t>
  </si>
  <si>
    <t>ที่ 2 สาย E</t>
  </si>
  <si>
    <t>۲ھ</t>
  </si>
  <si>
    <t>1F</t>
  </si>
  <si>
    <t>F1</t>
  </si>
  <si>
    <t>1ΣΤ</t>
  </si>
  <si>
    <t>F 그룹 1위</t>
  </si>
  <si>
    <t>اول گروه F</t>
  </si>
  <si>
    <t>ที่ 1 สาย F</t>
  </si>
  <si>
    <t>۱و</t>
  </si>
  <si>
    <t>2F</t>
  </si>
  <si>
    <t>F2</t>
  </si>
  <si>
    <t>2ΣΤ</t>
  </si>
  <si>
    <t>F 그룹 2위</t>
  </si>
  <si>
    <t>دوم گروه F</t>
  </si>
  <si>
    <t>ที่ 2 สาย F</t>
  </si>
  <si>
    <t>۲و</t>
  </si>
  <si>
    <t>1G</t>
  </si>
  <si>
    <t>G1</t>
  </si>
  <si>
    <t>1Ζ</t>
  </si>
  <si>
    <t>G 그룹 1위</t>
  </si>
  <si>
    <t>1Ġ</t>
  </si>
  <si>
    <t>اول گروه G</t>
  </si>
  <si>
    <t>ที่ 1 สาย G</t>
  </si>
  <si>
    <t>۱ز</t>
  </si>
  <si>
    <t>2G</t>
  </si>
  <si>
    <t>G2</t>
  </si>
  <si>
    <t>2Ζ</t>
  </si>
  <si>
    <t>G 그룹 2위</t>
  </si>
  <si>
    <t>2Ġ</t>
  </si>
  <si>
    <t>دوم گروه G</t>
  </si>
  <si>
    <t>ที่ 2 สาย G</t>
  </si>
  <si>
    <t>۲ز</t>
  </si>
  <si>
    <t>1H</t>
  </si>
  <si>
    <t>H1</t>
  </si>
  <si>
    <t>H 그룹 1위</t>
  </si>
  <si>
    <t>1Ħ</t>
  </si>
  <si>
    <t>اول گروه H</t>
  </si>
  <si>
    <t>ที่ 1 สาย H</t>
  </si>
  <si>
    <t>۱ح</t>
  </si>
  <si>
    <t>2H</t>
  </si>
  <si>
    <t>H2</t>
  </si>
  <si>
    <t>H 그룹 2위</t>
  </si>
  <si>
    <t>دوم گروه H</t>
  </si>
  <si>
    <t>ที่ 2 สาย H</t>
  </si>
  <si>
    <t>۲ح</t>
  </si>
  <si>
    <t>W49</t>
  </si>
  <si>
    <t>F49</t>
  </si>
  <si>
    <t>Q49</t>
  </si>
  <si>
    <t>G49</t>
  </si>
  <si>
    <t>49胜者</t>
  </si>
  <si>
    <t>V49</t>
  </si>
  <si>
    <t>მ49</t>
  </si>
  <si>
    <t>Ν49</t>
  </si>
  <si>
    <t>GY49</t>
  </si>
  <si>
    <t>16강전 경기1 승자</t>
  </si>
  <si>
    <t>L49</t>
  </si>
  <si>
    <t>П49</t>
  </si>
  <si>
    <t>R49</t>
  </si>
  <si>
    <t>برنده بازی 49</t>
  </si>
  <si>
    <t>C49</t>
  </si>
  <si>
    <t>P49</t>
  </si>
  <si>
    <t>ผู้ชนะนัดที่ 49</t>
  </si>
  <si>
    <t>T49</t>
  </si>
  <si>
    <t>Переможець 49</t>
  </si>
  <si>
    <t>۴۹ جیت</t>
  </si>
  <si>
    <t>W50</t>
  </si>
  <si>
    <t>F50</t>
  </si>
  <si>
    <t>Q50</t>
  </si>
  <si>
    <t>G50</t>
  </si>
  <si>
    <t>50胜者</t>
  </si>
  <si>
    <t>V50</t>
  </si>
  <si>
    <t>მ50</t>
  </si>
  <si>
    <t>Ν50</t>
  </si>
  <si>
    <t>GY50</t>
  </si>
  <si>
    <t>16강전 경기2 승자</t>
  </si>
  <si>
    <t>L50</t>
  </si>
  <si>
    <t>П50</t>
  </si>
  <si>
    <t>R50</t>
  </si>
  <si>
    <t>برنده بازی 50</t>
  </si>
  <si>
    <t>C50</t>
  </si>
  <si>
    <t>P50</t>
  </si>
  <si>
    <t>ผู้ชนะนัดที่ 50</t>
  </si>
  <si>
    <t>T50</t>
  </si>
  <si>
    <t>Переможець 50</t>
  </si>
  <si>
    <t>۵۰ جیت</t>
  </si>
  <si>
    <t>W51</t>
  </si>
  <si>
    <t>F51</t>
  </si>
  <si>
    <t>Q51</t>
  </si>
  <si>
    <t>G51</t>
  </si>
  <si>
    <t>51胜者</t>
  </si>
  <si>
    <t>V51</t>
  </si>
  <si>
    <t>მ51</t>
  </si>
  <si>
    <t>Ν51</t>
  </si>
  <si>
    <t>GY51</t>
  </si>
  <si>
    <t>16강전 경기3 승자</t>
  </si>
  <si>
    <t>L51</t>
  </si>
  <si>
    <t>П51</t>
  </si>
  <si>
    <t>R51</t>
  </si>
  <si>
    <t>برنده بازی 51</t>
  </si>
  <si>
    <t>C51</t>
  </si>
  <si>
    <t>P51</t>
  </si>
  <si>
    <t>ผู้ชนะนัดที่ 51</t>
  </si>
  <si>
    <t>T51</t>
  </si>
  <si>
    <t>Переможець 51</t>
  </si>
  <si>
    <t>۵۱ جیت</t>
  </si>
  <si>
    <t>W52</t>
  </si>
  <si>
    <t>F52</t>
  </si>
  <si>
    <t>Q52</t>
  </si>
  <si>
    <t>G52</t>
  </si>
  <si>
    <t>52胜者</t>
  </si>
  <si>
    <t>V52</t>
  </si>
  <si>
    <t>მ52</t>
  </si>
  <si>
    <t>Ν52</t>
  </si>
  <si>
    <t>GY52</t>
  </si>
  <si>
    <t>16강전 경기4 승자</t>
  </si>
  <si>
    <t>L52</t>
  </si>
  <si>
    <t>П52</t>
  </si>
  <si>
    <t>R52</t>
  </si>
  <si>
    <t>برنده بازی 52</t>
  </si>
  <si>
    <t>C52</t>
  </si>
  <si>
    <t>P52</t>
  </si>
  <si>
    <t>ผู้ชนะนัดที่ 52</t>
  </si>
  <si>
    <t>T52</t>
  </si>
  <si>
    <t>Переможець 52</t>
  </si>
  <si>
    <t>۵۲ جیت</t>
  </si>
  <si>
    <t>W53</t>
  </si>
  <si>
    <t>F53</t>
  </si>
  <si>
    <t>Q53</t>
  </si>
  <si>
    <t>G53</t>
  </si>
  <si>
    <t>53胜者</t>
  </si>
  <si>
    <t>V53</t>
  </si>
  <si>
    <t>მ53</t>
  </si>
  <si>
    <t>Ν53</t>
  </si>
  <si>
    <t>GY53</t>
  </si>
  <si>
    <t>16강전 경기5 승자</t>
  </si>
  <si>
    <t>L53</t>
  </si>
  <si>
    <t>П53</t>
  </si>
  <si>
    <t>R53</t>
  </si>
  <si>
    <t>برنده بازی 53</t>
  </si>
  <si>
    <t>C53</t>
  </si>
  <si>
    <t>P53</t>
  </si>
  <si>
    <t>ผู้ชนะนัดที่ 53</t>
  </si>
  <si>
    <t>T53</t>
  </si>
  <si>
    <t>Переможець 53</t>
  </si>
  <si>
    <t>۵۳ جیت</t>
  </si>
  <si>
    <t>W54</t>
  </si>
  <si>
    <t>F54</t>
  </si>
  <si>
    <t>Q54</t>
  </si>
  <si>
    <t>G54</t>
  </si>
  <si>
    <t>54胜者</t>
  </si>
  <si>
    <t>V54</t>
  </si>
  <si>
    <t>მ54</t>
  </si>
  <si>
    <t>Ν54</t>
  </si>
  <si>
    <t>GY54</t>
  </si>
  <si>
    <t>16강전 경기6 승자</t>
  </si>
  <si>
    <t>L54</t>
  </si>
  <si>
    <t>П54</t>
  </si>
  <si>
    <t>R54</t>
  </si>
  <si>
    <t>برنده بازی 54</t>
  </si>
  <si>
    <t>C54</t>
  </si>
  <si>
    <t>P54</t>
  </si>
  <si>
    <t>ผู้ชนะนัดที่ 54</t>
  </si>
  <si>
    <t>T54</t>
  </si>
  <si>
    <t>Переможець 54</t>
  </si>
  <si>
    <t>۵۴ جیت</t>
  </si>
  <si>
    <t>W55</t>
  </si>
  <si>
    <t>F55</t>
  </si>
  <si>
    <t>Q55</t>
  </si>
  <si>
    <t>G55</t>
  </si>
  <si>
    <t>55胜者</t>
  </si>
  <si>
    <t>V55</t>
  </si>
  <si>
    <t>მ55</t>
  </si>
  <si>
    <t>Ν55</t>
  </si>
  <si>
    <t>GY55</t>
  </si>
  <si>
    <t>16강전 경기7 승자</t>
  </si>
  <si>
    <t>L55</t>
  </si>
  <si>
    <t>П55</t>
  </si>
  <si>
    <t>R55</t>
  </si>
  <si>
    <t>برنده بازی 55</t>
  </si>
  <si>
    <t>C55</t>
  </si>
  <si>
    <t>P55</t>
  </si>
  <si>
    <t>ผู้ชนะนัดที่ 55</t>
  </si>
  <si>
    <t>T55</t>
  </si>
  <si>
    <t>Переможець 55</t>
  </si>
  <si>
    <t>۵۵ جیت</t>
  </si>
  <si>
    <t>W56</t>
  </si>
  <si>
    <t>F56</t>
  </si>
  <si>
    <t>Q56</t>
  </si>
  <si>
    <t>G56</t>
  </si>
  <si>
    <t>56胜者</t>
  </si>
  <si>
    <t>V56</t>
  </si>
  <si>
    <t>მ56</t>
  </si>
  <si>
    <t>Ν56</t>
  </si>
  <si>
    <t>GY56</t>
  </si>
  <si>
    <t>16강전 경기8 승자</t>
  </si>
  <si>
    <t>L56</t>
  </si>
  <si>
    <t>П56</t>
  </si>
  <si>
    <t>R56</t>
  </si>
  <si>
    <t>برنده بازی 56</t>
  </si>
  <si>
    <t>C56</t>
  </si>
  <si>
    <t>P56</t>
  </si>
  <si>
    <t>ผู้ชนะนัดที่ 56</t>
  </si>
  <si>
    <t>T56</t>
  </si>
  <si>
    <t>Переможець 56</t>
  </si>
  <si>
    <t>۵۶ جیت</t>
  </si>
  <si>
    <t>W57</t>
  </si>
  <si>
    <t>F57</t>
  </si>
  <si>
    <t>Q57</t>
  </si>
  <si>
    <t>G57</t>
  </si>
  <si>
    <t>57胜者</t>
  </si>
  <si>
    <t>V57</t>
  </si>
  <si>
    <t>მ57</t>
  </si>
  <si>
    <t>Ν57</t>
  </si>
  <si>
    <t>GY57</t>
  </si>
  <si>
    <t>8강전 경기1 승자</t>
  </si>
  <si>
    <t>L57</t>
  </si>
  <si>
    <t>П57</t>
  </si>
  <si>
    <t>R57</t>
  </si>
  <si>
    <t>برنده بازی 57</t>
  </si>
  <si>
    <t>C57</t>
  </si>
  <si>
    <t>P57</t>
  </si>
  <si>
    <t>ผู้ชนะนัดที่ 57</t>
  </si>
  <si>
    <t>T57</t>
  </si>
  <si>
    <t>Переможець 57</t>
  </si>
  <si>
    <t>۵۷ جیت</t>
  </si>
  <si>
    <t>W58</t>
  </si>
  <si>
    <t>F58</t>
  </si>
  <si>
    <t>Q58</t>
  </si>
  <si>
    <t>G58</t>
  </si>
  <si>
    <t>58胜者</t>
  </si>
  <si>
    <t>V58</t>
  </si>
  <si>
    <t>მ58</t>
  </si>
  <si>
    <t>Ν58</t>
  </si>
  <si>
    <t>GY58</t>
  </si>
  <si>
    <t>8강전 경기2 승자</t>
  </si>
  <si>
    <t>L58</t>
  </si>
  <si>
    <t>П58</t>
  </si>
  <si>
    <t>R58</t>
  </si>
  <si>
    <t>برنده بازی 58</t>
  </si>
  <si>
    <t>C58</t>
  </si>
  <si>
    <t>P58</t>
  </si>
  <si>
    <t>ผู้ชนะนัดที่ 58</t>
  </si>
  <si>
    <t>T58</t>
  </si>
  <si>
    <t>Переможець 58</t>
  </si>
  <si>
    <t>۵۸ جیت</t>
  </si>
  <si>
    <t>W59</t>
  </si>
  <si>
    <t>F59</t>
  </si>
  <si>
    <t>Q59</t>
  </si>
  <si>
    <t>G59</t>
  </si>
  <si>
    <t>59胜者</t>
  </si>
  <si>
    <t>V59</t>
  </si>
  <si>
    <t>მ59</t>
  </si>
  <si>
    <t>Ν59</t>
  </si>
  <si>
    <t>GY59</t>
  </si>
  <si>
    <t>8강전 경기3 승자</t>
  </si>
  <si>
    <t>L59</t>
  </si>
  <si>
    <t>П59</t>
  </si>
  <si>
    <t>R59</t>
  </si>
  <si>
    <t>برنده بازی 59</t>
  </si>
  <si>
    <t>C59</t>
  </si>
  <si>
    <t>P59</t>
  </si>
  <si>
    <t>ผู้ชนะนัดที่ 59</t>
  </si>
  <si>
    <t>T59</t>
  </si>
  <si>
    <t>Переможець 59</t>
  </si>
  <si>
    <t>۵۹ جیت</t>
  </si>
  <si>
    <t>W60</t>
  </si>
  <si>
    <t>F60</t>
  </si>
  <si>
    <t>Q60</t>
  </si>
  <si>
    <t>G60</t>
  </si>
  <si>
    <t>60胜者</t>
  </si>
  <si>
    <t>V60</t>
  </si>
  <si>
    <t>მ60</t>
  </si>
  <si>
    <t>Ν60</t>
  </si>
  <si>
    <t>GY60</t>
  </si>
  <si>
    <t>8강전 경기4 승자</t>
  </si>
  <si>
    <t>L60</t>
  </si>
  <si>
    <t>П60</t>
  </si>
  <si>
    <t>R60</t>
  </si>
  <si>
    <t>برنده بازی 60</t>
  </si>
  <si>
    <t>C60</t>
  </si>
  <si>
    <t>P60</t>
  </si>
  <si>
    <t>ผู้ชนะนัดที่ 60</t>
  </si>
  <si>
    <t>T60</t>
  </si>
  <si>
    <t>Переможець 60</t>
  </si>
  <si>
    <t>۶۰ جیت</t>
  </si>
  <si>
    <t>W61</t>
  </si>
  <si>
    <t>F61</t>
  </si>
  <si>
    <t>Q61</t>
  </si>
  <si>
    <t>G61</t>
  </si>
  <si>
    <t>61胜者</t>
  </si>
  <si>
    <t>V61</t>
  </si>
  <si>
    <t>მ61</t>
  </si>
  <si>
    <t>Ν61</t>
  </si>
  <si>
    <t>GY61</t>
  </si>
  <si>
    <t>준결승 경기1 승자</t>
  </si>
  <si>
    <t>L61</t>
  </si>
  <si>
    <t>П61</t>
  </si>
  <si>
    <t>R61</t>
  </si>
  <si>
    <t>برنده بازی 61</t>
  </si>
  <si>
    <t>C61</t>
  </si>
  <si>
    <t>P61</t>
  </si>
  <si>
    <t>ผู้ชนะนัดที่ 61</t>
  </si>
  <si>
    <t>T61</t>
  </si>
  <si>
    <t>Переможець 61</t>
  </si>
  <si>
    <t>۶۱ جیت</t>
  </si>
  <si>
    <t>W62</t>
  </si>
  <si>
    <t>F62</t>
  </si>
  <si>
    <t>Q62</t>
  </si>
  <si>
    <t>G62</t>
  </si>
  <si>
    <t>62胜者</t>
  </si>
  <si>
    <t>V62</t>
  </si>
  <si>
    <t>მ62</t>
  </si>
  <si>
    <t>Ν62</t>
  </si>
  <si>
    <t>GY62</t>
  </si>
  <si>
    <t>준결승 경기2 승자</t>
  </si>
  <si>
    <t>L62</t>
  </si>
  <si>
    <t>П62</t>
  </si>
  <si>
    <t>R62</t>
  </si>
  <si>
    <t>برنده بازی 62</t>
  </si>
  <si>
    <t>C62</t>
  </si>
  <si>
    <t>P62</t>
  </si>
  <si>
    <t>ผู้ชนะนัดที่ 62</t>
  </si>
  <si>
    <t>T62</t>
  </si>
  <si>
    <t>Переможець 62</t>
  </si>
  <si>
    <t>۶۲ جیت</t>
  </si>
  <si>
    <t>H61</t>
  </si>
  <si>
    <t>M61</t>
  </si>
  <si>
    <t>61负者</t>
  </si>
  <si>
    <t>წ61</t>
  </si>
  <si>
    <t>Η61</t>
  </si>
  <si>
    <t>준결승 경기1 패자</t>
  </si>
  <si>
    <t>И61</t>
  </si>
  <si>
    <t>بازنده بازی 61</t>
  </si>
  <si>
    <t>I61</t>
  </si>
  <si>
    <t>ผู้แพ้นัดที่ 61</t>
  </si>
  <si>
    <t>B61</t>
  </si>
  <si>
    <t>Переможений 61</t>
  </si>
  <si>
    <t>۶۱ ہار</t>
  </si>
  <si>
    <t>H62</t>
  </si>
  <si>
    <t>M62</t>
  </si>
  <si>
    <t>62负者</t>
  </si>
  <si>
    <t>წ62</t>
  </si>
  <si>
    <t>Η62</t>
  </si>
  <si>
    <t>준결승 경기2 패자</t>
  </si>
  <si>
    <t>И62</t>
  </si>
  <si>
    <t>بازنده بازی 62</t>
  </si>
  <si>
    <t>I62</t>
  </si>
  <si>
    <t>ผู้แพ้นัดที่ 62</t>
  </si>
  <si>
    <t>B62</t>
  </si>
  <si>
    <t>Переможений 62</t>
  </si>
  <si>
    <t>۶۲ ہار</t>
  </si>
  <si>
    <t xml:space="preserve">Kampioni </t>
  </si>
  <si>
    <t>A labdarúgó-VB győztes csapata:</t>
  </si>
  <si>
    <t>ورلڈ چیمپینس</t>
  </si>
  <si>
    <t>en</t>
  </si>
  <si>
    <t>sq</t>
  </si>
  <si>
    <t>ar</t>
  </si>
  <si>
    <t>hy</t>
  </si>
  <si>
    <t>az</t>
  </si>
  <si>
    <t>bg</t>
  </si>
  <si>
    <t>ca</t>
  </si>
  <si>
    <t>zh-CN</t>
  </si>
  <si>
    <t>zh-TW</t>
  </si>
  <si>
    <t>hr</t>
  </si>
  <si>
    <t>cs</t>
  </si>
  <si>
    <t>da</t>
  </si>
  <si>
    <t>nl</t>
  </si>
  <si>
    <t>fr</t>
  </si>
  <si>
    <t>ka</t>
  </si>
  <si>
    <t>de</t>
  </si>
  <si>
    <t>el</t>
  </si>
  <si>
    <t>iw</t>
  </si>
  <si>
    <t>hu</t>
  </si>
  <si>
    <t>id</t>
  </si>
  <si>
    <t>is</t>
  </si>
  <si>
    <t>it</t>
  </si>
  <si>
    <t>ko</t>
  </si>
  <si>
    <t>lt</t>
  </si>
  <si>
    <t>mk</t>
  </si>
  <si>
    <t>mt</t>
  </si>
  <si>
    <t>no</t>
  </si>
  <si>
    <t>fa</t>
  </si>
  <si>
    <t>pl</t>
  </si>
  <si>
    <t>pt</t>
  </si>
  <si>
    <t>ro</t>
  </si>
  <si>
    <t>ru</t>
  </si>
  <si>
    <t>sr</t>
  </si>
  <si>
    <t>sk</t>
  </si>
  <si>
    <t>sl</t>
  </si>
  <si>
    <t>es</t>
  </si>
  <si>
    <t>sv</t>
  </si>
  <si>
    <t>th</t>
  </si>
  <si>
    <t>tr</t>
  </si>
  <si>
    <t>vi</t>
  </si>
  <si>
    <t>uk</t>
  </si>
  <si>
    <t>ur</t>
  </si>
  <si>
    <t>2018 World Cup Final Tournament Schedule</t>
  </si>
  <si>
    <t>Kupa Botërore 2018</t>
  </si>
  <si>
    <t>جدول مباريات كأس العالم 2018</t>
  </si>
  <si>
    <t xml:space="preserve">Աշխարհի 2018թ. առաջնություն </t>
  </si>
  <si>
    <t>2018 - cu il Dünya Çempionatinin Final Mərhələsinin Cədvəli</t>
  </si>
  <si>
    <t>График на срещите - Световно първенство 2018</t>
  </si>
  <si>
    <t>Calendari de la Fase Final de la Copa del Món de futbol 2018</t>
  </si>
  <si>
    <t>巴西2018年世界杯</t>
  </si>
  <si>
    <t>2018 世界盃賽程</t>
  </si>
  <si>
    <t>Svjetsko prvenstvo 2018 raspored utakmica</t>
  </si>
  <si>
    <t>Mistrovství světa ve fotbale 2018</t>
  </si>
  <si>
    <t>2018 Verdensmesterskabs Oversigt</t>
  </si>
  <si>
    <t>Wereldkampioenschap 2018 Toernooischema</t>
  </si>
  <si>
    <t>Coupe du Monde de la FIFA 2018 - Calendrier des matchs</t>
  </si>
  <si>
    <t>მსოფლიო ჩემპიონატი ფეხბურთში - სამხრეთ აფრიკა 2018</t>
  </si>
  <si>
    <t>Spielplan Weltmeisterschafts endrunde 2018</t>
  </si>
  <si>
    <t>Πρόγραμμα Τελικών Παγκοσμίου Κυπέλλου 2018</t>
  </si>
  <si>
    <t>2018 גביע העולם טורניר הגמר תזמן</t>
  </si>
  <si>
    <t>2018 Labdarúgó-világbajnokság döntő sorozata</t>
  </si>
  <si>
    <t>Jadwal Turnamen Final Piala Dunia 2018</t>
  </si>
  <si>
    <t>HM 2018 lokakeppnin</t>
  </si>
  <si>
    <t>Calendario Coppa del mondo 2018</t>
  </si>
  <si>
    <t>2018 월드컵 최종 토너먼트 일정</t>
  </si>
  <si>
    <t>2018 Pasaulio Futbolo Čempionato Tvarkaraštis</t>
  </si>
  <si>
    <t>Светски првенство 2018 - Распоред на натпревари</t>
  </si>
  <si>
    <t>Skeda tat-Tazza tad-Dinja 2018</t>
  </si>
  <si>
    <t>Verdensmesterskapet i fotball 2018</t>
  </si>
  <si>
    <t>جدول مسابقات فینال جام جهانی 2018</t>
  </si>
  <si>
    <t>2018 Mistrzostwa Świata Terminarz Meczy</t>
  </si>
  <si>
    <t>Calendário Fase Final Mundial 2018</t>
  </si>
  <si>
    <t>Programul Turneului Final FIFA World Cup 2018</t>
  </si>
  <si>
    <t>Расписание Игр Финальной Стадии Чемпионата Мира по Футболу 2018</t>
  </si>
  <si>
    <t>Svetsko prvenstvo u fudbalu 2018 - Raspored utakmica</t>
  </si>
  <si>
    <t>Majstrovstvá sveta vo futbale 2018</t>
  </si>
  <si>
    <t>Svetovno prvenstvo 2018 razpored tekem</t>
  </si>
  <si>
    <t>Copa Mundial de Fútbol - Brasil 2018</t>
  </si>
  <si>
    <t>Schema för VM-slutspelet 2018</t>
  </si>
  <si>
    <t>ตารางการแข่งขันฟุตบอลโลก 2018</t>
  </si>
  <si>
    <t>2018 Dünya Kupası Finalleri Turnuva Fikstürü</t>
  </si>
  <si>
    <t>Lịch Thi Đấu Cúp Bóng Đá Thế Giới 2018</t>
  </si>
  <si>
    <t>Календар Чемпіонату Світу 2018</t>
  </si>
  <si>
    <t>GTM-Time</t>
  </si>
  <si>
    <t>GMT</t>
  </si>
  <si>
    <t>+0 min</t>
  </si>
  <si>
    <t>Language ID</t>
  </si>
  <si>
    <t>GMT Delta</t>
  </si>
  <si>
    <t>GMT - 11:00</t>
  </si>
  <si>
    <t>GMT - 10:00</t>
  </si>
  <si>
    <t>GMT - 9:00</t>
  </si>
  <si>
    <t>GMT - 8:00</t>
  </si>
  <si>
    <t>GMT - 7:00</t>
  </si>
  <si>
    <t>GMT - 6:00</t>
  </si>
  <si>
    <t>GMT - 5:00</t>
  </si>
  <si>
    <t>GMT - 4:00</t>
  </si>
  <si>
    <t>GMT - 3:00</t>
  </si>
  <si>
    <t>GMT - 2:00</t>
  </si>
  <si>
    <t>GMT - 1:00</t>
  </si>
  <si>
    <t>GMT + 1:00</t>
  </si>
  <si>
    <t>GMT + 2:00</t>
  </si>
  <si>
    <t>GMT + 3:00</t>
  </si>
  <si>
    <t>GMT + 4:00</t>
  </si>
  <si>
    <t>GMT + 5:00</t>
  </si>
  <si>
    <t>GMT + 6:00</t>
  </si>
  <si>
    <t>GMT + 7:00</t>
  </si>
  <si>
    <t>GMT + 8:00</t>
  </si>
  <si>
    <t>GMT + 9:00</t>
  </si>
  <si>
    <t>GMT + 10:00</t>
  </si>
  <si>
    <t>GMT + 11:00</t>
  </si>
  <si>
    <t>GMT + 12:00</t>
  </si>
  <si>
    <t>+15 min</t>
  </si>
  <si>
    <t>+30 min</t>
  </si>
  <si>
    <t>+45 min</t>
  </si>
  <si>
    <t>itype</t>
  </si>
  <si>
    <t>Saudi Arabia</t>
  </si>
  <si>
    <t>Egypt</t>
  </si>
  <si>
    <t>Morocco</t>
  </si>
  <si>
    <t>Peru</t>
  </si>
  <si>
    <t>Denmark</t>
  </si>
  <si>
    <t>Iceland</t>
  </si>
  <si>
    <t>Serbia</t>
  </si>
  <si>
    <t>Sweden</t>
  </si>
  <si>
    <t>Panama</t>
  </si>
  <si>
    <t>Tunisia</t>
  </si>
  <si>
    <t>Poland</t>
  </si>
  <si>
    <t>Senegal</t>
  </si>
  <si>
    <t>Rank</t>
  </si>
  <si>
    <t>Date + Time + GMT</t>
  </si>
  <si>
    <t>GF</t>
  </si>
  <si>
    <t>GA</t>
  </si>
  <si>
    <t>Place</t>
  </si>
  <si>
    <t>Delta</t>
  </si>
  <si>
    <t>Pnt</t>
  </si>
  <si>
    <t>FIFA</t>
  </si>
  <si>
    <t>F-A</t>
  </si>
  <si>
    <t>No</t>
  </si>
  <si>
    <t>World Champion 2018</t>
  </si>
  <si>
    <t>بطل العالم 2018</t>
  </si>
  <si>
    <t>Աշխարհի 2018թ. Հաղթող</t>
  </si>
  <si>
    <t>Dünya Çempionu 2018</t>
  </si>
  <si>
    <t>Световен шампион 2018</t>
  </si>
  <si>
    <t>Campió del Món 2018</t>
  </si>
  <si>
    <t>2018世界杯冠军</t>
  </si>
  <si>
    <t>Svjetski prvak 2018</t>
  </si>
  <si>
    <t>Mistr světa 2018</t>
  </si>
  <si>
    <t>Verdensmester 2018</t>
  </si>
  <si>
    <t>Wereldkampioen 2018</t>
  </si>
  <si>
    <t>Champion du Monde 2018</t>
  </si>
  <si>
    <t>მსოფლიოს ჩემპიონი 2018</t>
  </si>
  <si>
    <t>Weltmeister 2018</t>
  </si>
  <si>
    <t>Πρωταθλητής 2018</t>
  </si>
  <si>
    <t>גביע העולם 2018</t>
  </si>
  <si>
    <t>Juara Piala Dunia 2018</t>
  </si>
  <si>
    <t>Heimsmeistarar 2018</t>
  </si>
  <si>
    <t>Coppa del Mondo 2018</t>
  </si>
  <si>
    <t>2018년 우승국가</t>
  </si>
  <si>
    <t>Pasaulio Čempionas 2018</t>
  </si>
  <si>
    <t>Светски шампион 2018</t>
  </si>
  <si>
    <t>Rebbieħ tat-Tazza tad-Dinja 2018</t>
  </si>
  <si>
    <t>Vinner 2018</t>
  </si>
  <si>
    <t>قهرمان جام جهانی 2018</t>
  </si>
  <si>
    <t>Mistrz Świata 2018</t>
  </si>
  <si>
    <t>Vencedor do Campeonato do Mundo 2018</t>
  </si>
  <si>
    <t>Campioana Mondiala 2018</t>
  </si>
  <si>
    <t>Чемпион Мира 2018</t>
  </si>
  <si>
    <t>Svjetski šampion 2018</t>
  </si>
  <si>
    <t>Majster sveta 2018</t>
  </si>
  <si>
    <t>Svetovno prvak 2018</t>
  </si>
  <si>
    <t>Campeón 2018</t>
  </si>
  <si>
    <t>Världsmästare 2018</t>
  </si>
  <si>
    <t>แชมป์โลกปี 2018</t>
  </si>
  <si>
    <t>2018 Dünya Şampiyonu</t>
  </si>
  <si>
    <t>Vòng Chung Kết 2018</t>
  </si>
  <si>
    <t>Чемпіон Світу 2018</t>
  </si>
  <si>
    <t>Poloni</t>
  </si>
  <si>
    <t>بولندا</t>
  </si>
  <si>
    <t>Polşa</t>
  </si>
  <si>
    <t>Полша</t>
  </si>
  <si>
    <t>Polònia</t>
  </si>
  <si>
    <t>波兰</t>
  </si>
  <si>
    <t>波蘭</t>
  </si>
  <si>
    <t>Poljska</t>
  </si>
  <si>
    <t>Polsko</t>
  </si>
  <si>
    <t>Polen</t>
  </si>
  <si>
    <t>Pologne</t>
  </si>
  <si>
    <t>პოლონეთი</t>
  </si>
  <si>
    <t>Πολωνία</t>
  </si>
  <si>
    <t>פּוֹלִין</t>
  </si>
  <si>
    <t>Lengyelország</t>
  </si>
  <si>
    <t>Polandia</t>
  </si>
  <si>
    <t>Polonia</t>
  </si>
  <si>
    <t>폴란드</t>
  </si>
  <si>
    <t>Lenkija</t>
  </si>
  <si>
    <t>Полска</t>
  </si>
  <si>
    <t>Polonja</t>
  </si>
  <si>
    <t>لهستان</t>
  </si>
  <si>
    <t>Polska</t>
  </si>
  <si>
    <t>Polônia</t>
  </si>
  <si>
    <t>Польша</t>
  </si>
  <si>
    <t>Пољска</t>
  </si>
  <si>
    <t>Poľsko</t>
  </si>
  <si>
    <t>polen</t>
  </si>
  <si>
    <t>โปแลนด์</t>
  </si>
  <si>
    <t>Polonya</t>
  </si>
  <si>
    <t>Ba Lan</t>
  </si>
  <si>
    <t>Польща</t>
  </si>
  <si>
    <t>پولینڈ</t>
  </si>
  <si>
    <t>Լեհաստան</t>
  </si>
  <si>
    <t>Ֆրանսիա</t>
  </si>
  <si>
    <t>صربيا</t>
  </si>
  <si>
    <t>Սերբիա</t>
  </si>
  <si>
    <t>Serbiya</t>
  </si>
  <si>
    <t>Сърбия</t>
  </si>
  <si>
    <t>Sèrbia</t>
  </si>
  <si>
    <t>塞尔维亚</t>
  </si>
  <si>
    <t>塞爾維亞</t>
  </si>
  <si>
    <t>Srbija</t>
  </si>
  <si>
    <t>Srbsko</t>
  </si>
  <si>
    <t>Serbien</t>
  </si>
  <si>
    <t>Servië</t>
  </si>
  <si>
    <t>Serbie</t>
  </si>
  <si>
    <t>სერბეთი</t>
  </si>
  <si>
    <t>Σερβία</t>
  </si>
  <si>
    <t>סרביה</t>
  </si>
  <si>
    <t>Szerbia</t>
  </si>
  <si>
    <t>Serbía</t>
  </si>
  <si>
    <t>세르비아</t>
  </si>
  <si>
    <t>Serbija</t>
  </si>
  <si>
    <t>Србија</t>
  </si>
  <si>
    <t>Serbja</t>
  </si>
  <si>
    <t>صربستان</t>
  </si>
  <si>
    <t>Sérvia</t>
  </si>
  <si>
    <t>Сербия</t>
  </si>
  <si>
    <t>เซอร์เบีย</t>
  </si>
  <si>
    <t>Sırbistan</t>
  </si>
  <si>
    <t>Сербія</t>
  </si>
  <si>
    <t>سربیا</t>
  </si>
  <si>
    <t>بيرو</t>
  </si>
  <si>
    <t>Պերու</t>
  </si>
  <si>
    <t>Перу</t>
  </si>
  <si>
    <t>Perú</t>
  </si>
  <si>
    <t>秘鲁</t>
  </si>
  <si>
    <t>秘魯</t>
  </si>
  <si>
    <t>Pérou</t>
  </si>
  <si>
    <t>Περού</t>
  </si>
  <si>
    <t>פרו</t>
  </si>
  <si>
    <t>peru</t>
  </si>
  <si>
    <t>Perù</t>
  </si>
  <si>
    <t>페루</t>
  </si>
  <si>
    <t>پرو</t>
  </si>
  <si>
    <t>เปรู</t>
  </si>
  <si>
    <t>پیرو</t>
  </si>
  <si>
    <t>Nemecko</t>
  </si>
  <si>
    <t>Chorvátsko</t>
  </si>
  <si>
    <t>Francúzsko</t>
  </si>
  <si>
    <t>Južná Kórea</t>
  </si>
  <si>
    <t>მექსიკა</t>
  </si>
  <si>
    <t>საფრანგეთი</t>
  </si>
  <si>
    <t>ინგლისი</t>
  </si>
  <si>
    <t>პერუს</t>
  </si>
  <si>
    <t>გერმანია</t>
  </si>
  <si>
    <t>კოლუმბია</t>
  </si>
  <si>
    <t>Danimarkë</t>
  </si>
  <si>
    <t>الدنمارك</t>
  </si>
  <si>
    <t>Դանիա</t>
  </si>
  <si>
    <t>Danimarka</t>
  </si>
  <si>
    <t>Дания</t>
  </si>
  <si>
    <t>Dinamarca</t>
  </si>
  <si>
    <t>丹麦</t>
  </si>
  <si>
    <t>丹麥</t>
  </si>
  <si>
    <t>Danska</t>
  </si>
  <si>
    <t>Dánsko</t>
  </si>
  <si>
    <t>Danmark</t>
  </si>
  <si>
    <t>Denemarken</t>
  </si>
  <si>
    <t>Danemark</t>
  </si>
  <si>
    <t>დანია</t>
  </si>
  <si>
    <t>Dänemark</t>
  </si>
  <si>
    <t>Δανία</t>
  </si>
  <si>
    <t>דנמרק</t>
  </si>
  <si>
    <t>Dánia</t>
  </si>
  <si>
    <t>Danimarca</t>
  </si>
  <si>
    <t>덴마크</t>
  </si>
  <si>
    <t>Danija</t>
  </si>
  <si>
    <t>Данска</t>
  </si>
  <si>
    <t>دانمارک</t>
  </si>
  <si>
    <t>Dania</t>
  </si>
  <si>
    <t>Danemarca</t>
  </si>
  <si>
    <t>เดนมาร์ก</t>
  </si>
  <si>
    <t>Đan mạch</t>
  </si>
  <si>
    <t>Данія</t>
  </si>
  <si>
    <t>ڈنمارک</t>
  </si>
  <si>
    <t>Suedi</t>
  </si>
  <si>
    <t>السويد</t>
  </si>
  <si>
    <t>Շվեդիա</t>
  </si>
  <si>
    <t>İsveç</t>
  </si>
  <si>
    <t>Швеция</t>
  </si>
  <si>
    <t>Suècia</t>
  </si>
  <si>
    <t>瑞典</t>
  </si>
  <si>
    <t>Švedska</t>
  </si>
  <si>
    <t>Švédsko</t>
  </si>
  <si>
    <t>Sverige</t>
  </si>
  <si>
    <t>Zweden</t>
  </si>
  <si>
    <t>Suède</t>
  </si>
  <si>
    <t>შვედეთი</t>
  </si>
  <si>
    <t>Schweden</t>
  </si>
  <si>
    <t>Σουηδία</t>
  </si>
  <si>
    <t>שוודיה</t>
  </si>
  <si>
    <t>Svédország</t>
  </si>
  <si>
    <t>Swedia</t>
  </si>
  <si>
    <t>Svíþjóð</t>
  </si>
  <si>
    <t>Svezia</t>
  </si>
  <si>
    <t>스웨덴</t>
  </si>
  <si>
    <t>Švedija</t>
  </si>
  <si>
    <t>Шведска</t>
  </si>
  <si>
    <t>سوئد</t>
  </si>
  <si>
    <t>Szwecja</t>
  </si>
  <si>
    <t>Suécia</t>
  </si>
  <si>
    <t>Suedia</t>
  </si>
  <si>
    <t>Suecia</t>
  </si>
  <si>
    <t>สวีเดน</t>
  </si>
  <si>
    <t>Thụy Điển</t>
  </si>
  <si>
    <t>Швеція</t>
  </si>
  <si>
    <t>سویڈن</t>
  </si>
  <si>
    <t>Islandë</t>
  </si>
  <si>
    <t>أيسلندا</t>
  </si>
  <si>
    <t>Իսլանդիա</t>
  </si>
  <si>
    <t>İslandiya</t>
  </si>
  <si>
    <t>Исландия</t>
  </si>
  <si>
    <t>Islàndia</t>
  </si>
  <si>
    <t>冰岛</t>
  </si>
  <si>
    <t>冰島</t>
  </si>
  <si>
    <t>Island</t>
  </si>
  <si>
    <t>IJsland</t>
  </si>
  <si>
    <t>Islande</t>
  </si>
  <si>
    <t>ისლანდია</t>
  </si>
  <si>
    <t>Ισλανδία</t>
  </si>
  <si>
    <t>אִיסלַנד</t>
  </si>
  <si>
    <t>Izland</t>
  </si>
  <si>
    <t>Islandia</t>
  </si>
  <si>
    <t>iceland</t>
  </si>
  <si>
    <t>Islanda</t>
  </si>
  <si>
    <t>아이슬란드</t>
  </si>
  <si>
    <t>Islandija</t>
  </si>
  <si>
    <t>Исланд</t>
  </si>
  <si>
    <t>ایسلند</t>
  </si>
  <si>
    <t>Islândia</t>
  </si>
  <si>
    <t>ประเทศไอซ์แลนด์</t>
  </si>
  <si>
    <t>İzlanda</t>
  </si>
  <si>
    <t>Ісландія</t>
  </si>
  <si>
    <t>آیس لینڈ</t>
  </si>
  <si>
    <t>السنغال</t>
  </si>
  <si>
    <t>Սենեգալ</t>
  </si>
  <si>
    <t>Seneqal</t>
  </si>
  <si>
    <t>Сенегал</t>
  </si>
  <si>
    <t>塞内加尔</t>
  </si>
  <si>
    <t>塞內加爾</t>
  </si>
  <si>
    <t>Sénégal</t>
  </si>
  <si>
    <t>სენეგალი</t>
  </si>
  <si>
    <t>Σενεγάλη</t>
  </si>
  <si>
    <t>סנגל</t>
  </si>
  <si>
    <t>Szenegál</t>
  </si>
  <si>
    <t>senegal</t>
  </si>
  <si>
    <t>세네갈</t>
  </si>
  <si>
    <t>Senegalas</t>
  </si>
  <si>
    <t>سنگال</t>
  </si>
  <si>
    <t>сенегал</t>
  </si>
  <si>
    <t>ประเทศเซเนกัล</t>
  </si>
  <si>
    <t>سنیگال</t>
  </si>
  <si>
    <t>Tunizi</t>
  </si>
  <si>
    <t>تونس</t>
  </si>
  <si>
    <t>Թունիս</t>
  </si>
  <si>
    <t>Tunis</t>
  </si>
  <si>
    <t>Тунис</t>
  </si>
  <si>
    <t>Tunísia</t>
  </si>
  <si>
    <t>突尼斯</t>
  </si>
  <si>
    <t>Tunisko</t>
  </si>
  <si>
    <t>Tunesien</t>
  </si>
  <si>
    <t>Tunesië</t>
  </si>
  <si>
    <t>Tunisie</t>
  </si>
  <si>
    <t>ტუნისში</t>
  </si>
  <si>
    <t>Τυνησία</t>
  </si>
  <si>
    <t>תוניסיה</t>
  </si>
  <si>
    <t>Tunézia</t>
  </si>
  <si>
    <t>Túnis</t>
  </si>
  <si>
    <t>튀니지</t>
  </si>
  <si>
    <t>Tunisas</t>
  </si>
  <si>
    <t>Tuneżija</t>
  </si>
  <si>
    <t>Tunezja</t>
  </si>
  <si>
    <t>Tunizija</t>
  </si>
  <si>
    <t>Túnez</t>
  </si>
  <si>
    <t>ตูนิเซีย</t>
  </si>
  <si>
    <t>Tunus</t>
  </si>
  <si>
    <t>Туніс</t>
  </si>
  <si>
    <t>تیونس</t>
  </si>
  <si>
    <t>Egjipt</t>
  </si>
  <si>
    <t>مصر</t>
  </si>
  <si>
    <t>Եգիպտոս</t>
  </si>
  <si>
    <t>Misir</t>
  </si>
  <si>
    <t>Египет</t>
  </si>
  <si>
    <t>Egipte</t>
  </si>
  <si>
    <t>埃及</t>
  </si>
  <si>
    <t>Egipat</t>
  </si>
  <si>
    <t>Egypten</t>
  </si>
  <si>
    <t>Egypte</t>
  </si>
  <si>
    <t>ეგვიპტეში</t>
  </si>
  <si>
    <t>Ägypten</t>
  </si>
  <si>
    <t>Αίγυπτος</t>
  </si>
  <si>
    <t>מִצְרַיִם</t>
  </si>
  <si>
    <t>Egyiptom</t>
  </si>
  <si>
    <t>Mesir</t>
  </si>
  <si>
    <t>Egyptaland</t>
  </si>
  <si>
    <t>Egitto</t>
  </si>
  <si>
    <t>이집트</t>
  </si>
  <si>
    <t>Egiptas</t>
  </si>
  <si>
    <t>Eġittu</t>
  </si>
  <si>
    <t>Egipt</t>
  </si>
  <si>
    <t>Egito</t>
  </si>
  <si>
    <t>Египат</t>
  </si>
  <si>
    <t>Egipto</t>
  </si>
  <si>
    <t>อียิปต์</t>
  </si>
  <si>
    <t>Mısır</t>
  </si>
  <si>
    <t>Ai Cập</t>
  </si>
  <si>
    <t>Єгипет</t>
  </si>
  <si>
    <t>Tunisien</t>
  </si>
  <si>
    <t>Belġju</t>
  </si>
  <si>
    <t>Isvezja</t>
  </si>
  <si>
    <t>Marok</t>
  </si>
  <si>
    <t>المغرب</t>
  </si>
  <si>
    <t>սեկ</t>
  </si>
  <si>
    <t>Мароко</t>
  </si>
  <si>
    <t>Marroc</t>
  </si>
  <si>
    <t>摩洛哥</t>
  </si>
  <si>
    <t>Maroko</t>
  </si>
  <si>
    <t>Marokko</t>
  </si>
  <si>
    <t>Maroc</t>
  </si>
  <si>
    <t>მაროკო</t>
  </si>
  <si>
    <t>Μαρόκο</t>
  </si>
  <si>
    <t>מָרוֹקוֹ</t>
  </si>
  <si>
    <t>Marokkó</t>
  </si>
  <si>
    <t>Marocco</t>
  </si>
  <si>
    <t>모로코</t>
  </si>
  <si>
    <t>Marokas</t>
  </si>
  <si>
    <t>Marokk</t>
  </si>
  <si>
    <t>مراکش</t>
  </si>
  <si>
    <t>Marrocos</t>
  </si>
  <si>
    <t>Марокко</t>
  </si>
  <si>
    <t>Marruecos</t>
  </si>
  <si>
    <t>Marocko</t>
  </si>
  <si>
    <t>โมร็อกโก</t>
  </si>
  <si>
    <t>Fas</t>
  </si>
  <si>
    <t>Mərakeş</t>
  </si>
  <si>
    <t>بناما</t>
  </si>
  <si>
    <t>պանամա</t>
  </si>
  <si>
    <t>Панама</t>
  </si>
  <si>
    <t>Panamà</t>
  </si>
  <si>
    <t>巴拿马</t>
  </si>
  <si>
    <t>巴拿馬</t>
  </si>
  <si>
    <t>პანამა</t>
  </si>
  <si>
    <t>Παναμάς</t>
  </si>
  <si>
    <t>פנמה</t>
  </si>
  <si>
    <t>파나마</t>
  </si>
  <si>
    <t>پاناما</t>
  </si>
  <si>
    <t>Panamá</t>
  </si>
  <si>
    <t>ปานามา</t>
  </si>
  <si>
    <t>Arabia Saudite</t>
  </si>
  <si>
    <t>المملكة العربية السعودية</t>
  </si>
  <si>
    <t>Սաուդյան Արաբիան</t>
  </si>
  <si>
    <t>Səudiyyə Ərəbistanı</t>
  </si>
  <si>
    <t>Саудитска Арабия</t>
  </si>
  <si>
    <t>Aràbia Saudita</t>
  </si>
  <si>
    <t>沙特阿拉伯</t>
  </si>
  <si>
    <t>Saudijska Arabija</t>
  </si>
  <si>
    <t>Saudská arábie</t>
  </si>
  <si>
    <t>Saudi Arabien</t>
  </si>
  <si>
    <t>Saoedi-Arabië</t>
  </si>
  <si>
    <t>Arabie Saoudite</t>
  </si>
  <si>
    <t>საუდის არაბეთი</t>
  </si>
  <si>
    <t>Σαουδική Αραβία</t>
  </si>
  <si>
    <t>ערב הסעודית</t>
  </si>
  <si>
    <t>Szaud-Arábia</t>
  </si>
  <si>
    <t>Arab Saudi</t>
  </si>
  <si>
    <t>Sádí-Arabía</t>
  </si>
  <si>
    <t>Arabia Saudita</t>
  </si>
  <si>
    <t>사우디 아라비아</t>
  </si>
  <si>
    <t>Saudo Arabija</t>
  </si>
  <si>
    <t>Саудиска Арабија</t>
  </si>
  <si>
    <t>Għarabja Sawdita</t>
  </si>
  <si>
    <t>Saudi-Arabia</t>
  </si>
  <si>
    <t>عربستان سعودی</t>
  </si>
  <si>
    <t>Arabia Saudyjska</t>
  </si>
  <si>
    <t>Arábia Saudita</t>
  </si>
  <si>
    <t>Arabia Saudită</t>
  </si>
  <si>
    <t>Саудовская Аравия</t>
  </si>
  <si>
    <t>Саудијска Арабија</t>
  </si>
  <si>
    <t>Saudská Arábia</t>
  </si>
  <si>
    <t>Savdska Arabija</t>
  </si>
  <si>
    <t>Saudiarabien</t>
  </si>
  <si>
    <t>ซาอุดิอาราเบีย</t>
  </si>
  <si>
    <t>Suudi Arabistan</t>
  </si>
  <si>
    <t>Ả Rập Xê-út</t>
  </si>
  <si>
    <t>Саудівська Аравія</t>
  </si>
  <si>
    <t>سعودی عرب</t>
  </si>
  <si>
    <t>Futbol bo‘yicha 2018-yilgi Jahon chempionatining final bosqichi o‘yinlari jadvali</t>
  </si>
  <si>
    <t>Guruh bosqichi</t>
  </si>
  <si>
    <t>Nimchorak final</t>
  </si>
  <si>
    <t>Chorak final</t>
  </si>
  <si>
    <t>Yarim final</t>
  </si>
  <si>
    <t>3-o'rin uchun bahs</t>
  </si>
  <si>
    <t>FINAL</t>
  </si>
  <si>
    <t>Guruh</t>
  </si>
  <si>
    <t>O'</t>
  </si>
  <si>
    <t>Yu</t>
  </si>
  <si>
    <t>Ochkolar</t>
  </si>
  <si>
    <t>Yak</t>
  </si>
  <si>
    <t>Sesh</t>
  </si>
  <si>
    <t>Dush</t>
  </si>
  <si>
    <t>Chor</t>
  </si>
  <si>
    <t>Pay</t>
  </si>
  <si>
    <t>Juma</t>
  </si>
  <si>
    <t>Shan</t>
  </si>
  <si>
    <t>Iyun</t>
  </si>
  <si>
    <t>Iyul</t>
  </si>
  <si>
    <t>Jamoa</t>
  </si>
  <si>
    <t>Urugvay</t>
  </si>
  <si>
    <t>Fransiya</t>
  </si>
  <si>
    <t>Nigeriya</t>
  </si>
  <si>
    <t>Janubiy Koreya</t>
  </si>
  <si>
    <t>Polsha</t>
  </si>
  <si>
    <t>Angliya</t>
  </si>
  <si>
    <t>Rossiya</t>
  </si>
  <si>
    <t>Germaniya</t>
  </si>
  <si>
    <t>Daniya</t>
  </si>
  <si>
    <t>Shvetsiya</t>
  </si>
  <si>
    <t>Kosta-Rika</t>
  </si>
  <si>
    <t>Islandiya</t>
  </si>
  <si>
    <t>Misr</t>
  </si>
  <si>
    <t>Eron</t>
  </si>
  <si>
    <t>Belgiya</t>
  </si>
  <si>
    <t>Marokash</t>
  </si>
  <si>
    <t>Portugaliya</t>
  </si>
  <si>
    <t>Ispaniya</t>
  </si>
  <si>
    <t>Shveysariya</t>
  </si>
  <si>
    <t>Saudiya Arabistoni</t>
  </si>
  <si>
    <t>2018-yilgi JAHON CHEMPIONI</t>
  </si>
  <si>
    <t>Sozlamalar</t>
  </si>
  <si>
    <t>Til</t>
  </si>
  <si>
    <t>Yozgi vaqt</t>
  </si>
  <si>
    <t>Minutlardagi farq</t>
  </si>
  <si>
    <t>Sevimli jamoa</t>
  </si>
  <si>
    <t>Guruh bosqichi qoidasi</t>
  </si>
  <si>
    <t>1-qoida</t>
  </si>
  <si>
    <t>2-qoida</t>
  </si>
  <si>
    <t>3-qoida</t>
  </si>
  <si>
    <t>4-qoida</t>
  </si>
  <si>
    <t>5-qoida</t>
  </si>
  <si>
    <t>To'plar nisbati</t>
  </si>
  <si>
    <t>Urilgan gollar</t>
  </si>
  <si>
    <t>O'zaro o'yinlar (Pnt, GF-GA, GF)</t>
  </si>
  <si>
    <t>FIFA reytingi</t>
  </si>
  <si>
    <t>Ochko</t>
  </si>
  <si>
    <t>UrGol-O'tGol</t>
  </si>
  <si>
    <t>FIFA World Cup
Natijalar tarixi
1930 - 2014</t>
  </si>
  <si>
    <t>Manba: www.excely.com</t>
  </si>
  <si>
    <t>@xushnudbek</t>
  </si>
  <si>
    <t>team1</t>
  </si>
  <si>
    <t>team2</t>
  </si>
  <si>
    <t>team1_vs_team2</t>
  </si>
  <si>
    <t>Date</t>
  </si>
  <si>
    <t>Year</t>
  </si>
  <si>
    <t>Stage</t>
  </si>
  <si>
    <t>Stadium</t>
  </si>
  <si>
    <t>Referee</t>
  </si>
  <si>
    <t>Visitors</t>
  </si>
  <si>
    <t>T1H</t>
  </si>
  <si>
    <t>T1A</t>
  </si>
  <si>
    <t>tot</t>
  </si>
  <si>
    <t>dif</t>
  </si>
  <si>
    <t>T2H</t>
  </si>
  <si>
    <t>T2A</t>
  </si>
  <si>
    <t>National Team</t>
  </si>
  <si>
    <t>final</t>
  </si>
  <si>
    <t xml:space="preserve">f </t>
  </si>
  <si>
    <t xml:space="preserve">Estádio do Maracanã </t>
  </si>
  <si>
    <t xml:space="preserve">Nicola Rizzoli </t>
  </si>
  <si>
    <t xml:space="preserve">0 - 1 </t>
  </si>
  <si>
    <t>3-o'rin</t>
  </si>
  <si>
    <t xml:space="preserve">3p </t>
  </si>
  <si>
    <t>Nederlandiya</t>
  </si>
  <si>
    <t xml:space="preserve">Estadio Nacional Mane Garrincha </t>
  </si>
  <si>
    <t xml:space="preserve">Djamel Haimoudi </t>
  </si>
  <si>
    <t xml:space="preserve">0 - 3 </t>
  </si>
  <si>
    <t>Angola</t>
  </si>
  <si>
    <t>yarim final</t>
  </si>
  <si>
    <t xml:space="preserve">sf </t>
  </si>
  <si>
    <t xml:space="preserve">Arena do Sao Paulo </t>
  </si>
  <si>
    <t xml:space="preserve">Cüneyt Cakir </t>
  </si>
  <si>
    <t xml:space="preserve">0 - 0 </t>
  </si>
  <si>
    <t>AQSh</t>
  </si>
  <si>
    <t xml:space="preserve">Mineirão </t>
  </si>
  <si>
    <t xml:space="preserve">Marco Rodríguez </t>
  </si>
  <si>
    <t xml:space="preserve">1 - 7 </t>
  </si>
  <si>
    <t>chorak final</t>
  </si>
  <si>
    <t xml:space="preserve">qf </t>
  </si>
  <si>
    <t xml:space="preserve">Arena Fonte Nova </t>
  </si>
  <si>
    <t xml:space="preserve">Ravshan Irmatov </t>
  </si>
  <si>
    <t xml:space="preserve">1 - 0 </t>
  </si>
  <si>
    <t>Avstriya</t>
  </si>
  <si>
    <t xml:space="preserve">Estadio Castelao </t>
  </si>
  <si>
    <t xml:space="preserve">Carlos Velasco Carballo </t>
  </si>
  <si>
    <t xml:space="preserve">2 - 1 </t>
  </si>
  <si>
    <t>BAA</t>
  </si>
  <si>
    <t xml:space="preserve">Nestor Pitana </t>
  </si>
  <si>
    <t>nimchorak</t>
  </si>
  <si>
    <t xml:space="preserve">of 16 </t>
  </si>
  <si>
    <t>Bolgariya</t>
  </si>
  <si>
    <t xml:space="preserve">Arena de Sao Paulo </t>
  </si>
  <si>
    <t xml:space="preserve">Jonas Eriksson </t>
  </si>
  <si>
    <t>Boliviya</t>
  </si>
  <si>
    <t>Jazoir</t>
  </si>
  <si>
    <t xml:space="preserve">Estádio Beira-Rio </t>
  </si>
  <si>
    <t xml:space="preserve">Sandro Ricci </t>
  </si>
  <si>
    <t xml:space="preserve">1 - 2 </t>
  </si>
  <si>
    <t>Bosniya va Gersegovina</t>
  </si>
  <si>
    <t xml:space="preserve">Mark Geiger </t>
  </si>
  <si>
    <t xml:space="preserve">2 - 0 </t>
  </si>
  <si>
    <t>Gretsiya</t>
  </si>
  <si>
    <t xml:space="preserve">Arena Pernambucano </t>
  </si>
  <si>
    <t xml:space="preserve">Ben Williams </t>
  </si>
  <si>
    <t xml:space="preserve">1 - 1 </t>
  </si>
  <si>
    <t>Chexiya</t>
  </si>
  <si>
    <t xml:space="preserve">Pedro Proenca </t>
  </si>
  <si>
    <t>Chexslovakiya</t>
  </si>
  <si>
    <t xml:space="preserve">Bjorn Kuipers </t>
  </si>
  <si>
    <t>Chili</t>
  </si>
  <si>
    <t xml:space="preserve">Howard Webb </t>
  </si>
  <si>
    <t>H guruhi</t>
  </si>
  <si>
    <t xml:space="preserve">H </t>
  </si>
  <si>
    <t xml:space="preserve">Arena de Baixada </t>
  </si>
  <si>
    <t>Ekvador</t>
  </si>
  <si>
    <t>G guruhi</t>
  </si>
  <si>
    <t xml:space="preserve">G </t>
  </si>
  <si>
    <t>Gana</t>
  </si>
  <si>
    <t xml:space="preserve">Nawaf Shukralla </t>
  </si>
  <si>
    <t xml:space="preserve">Arena Pernambuco </t>
  </si>
  <si>
    <t>F guruhi</t>
  </si>
  <si>
    <t xml:space="preserve">F </t>
  </si>
  <si>
    <t xml:space="preserve">3 - 1 </t>
  </si>
  <si>
    <t xml:space="preserve">3 - 2 </t>
  </si>
  <si>
    <t>Gollandiya Ost-Indiyasi</t>
  </si>
  <si>
    <t>E guruhi</t>
  </si>
  <si>
    <t xml:space="preserve">E </t>
  </si>
  <si>
    <t xml:space="preserve">Noumandiez Doue </t>
  </si>
  <si>
    <t>Honduras</t>
  </si>
  <si>
    <t xml:space="preserve">Arena Amazonia </t>
  </si>
  <si>
    <t>Haiti</t>
  </si>
  <si>
    <t>D guruhi</t>
  </si>
  <si>
    <t xml:space="preserve">D </t>
  </si>
  <si>
    <t>Italiya</t>
  </si>
  <si>
    <t xml:space="preserve">Arena das Dunas </t>
  </si>
  <si>
    <t>Irlandiya</t>
  </si>
  <si>
    <t>C guruhi</t>
  </si>
  <si>
    <t xml:space="preserve">C </t>
  </si>
  <si>
    <t>Kot d'Ivuar</t>
  </si>
  <si>
    <t xml:space="preserve">Carlos Vera </t>
  </si>
  <si>
    <t>Iroq</t>
  </si>
  <si>
    <t xml:space="preserve">Arena Pantanal </t>
  </si>
  <si>
    <t xml:space="preserve">4 - 1 </t>
  </si>
  <si>
    <t>B guruhi</t>
  </si>
  <si>
    <t xml:space="preserve">B </t>
  </si>
  <si>
    <t xml:space="preserve">Bakary Gassama </t>
  </si>
  <si>
    <t xml:space="preserve">0 - 2 </t>
  </si>
  <si>
    <t>Isroil</t>
  </si>
  <si>
    <t>A guruhi</t>
  </si>
  <si>
    <t xml:space="preserve">A </t>
  </si>
  <si>
    <t xml:space="preserve">1 - 3 </t>
  </si>
  <si>
    <t>Janubiy Afrika</t>
  </si>
  <si>
    <t>Kamerun</t>
  </si>
  <si>
    <t xml:space="preserve">Wilmar Roldan </t>
  </si>
  <si>
    <t xml:space="preserve">4 - 2 </t>
  </si>
  <si>
    <t xml:space="preserve">Felix Brych </t>
  </si>
  <si>
    <t xml:space="preserve">2 - 2 </t>
  </si>
  <si>
    <t>Kanada</t>
  </si>
  <si>
    <t xml:space="preserve">Peter O'Leary </t>
  </si>
  <si>
    <t>Kongo DR</t>
  </si>
  <si>
    <t xml:space="preserve">Milorad Mazic </t>
  </si>
  <si>
    <t xml:space="preserve">5 - 2 </t>
  </si>
  <si>
    <t>Kuba</t>
  </si>
  <si>
    <t xml:space="preserve">Enrique Osses </t>
  </si>
  <si>
    <t xml:space="preserve">Joel Aguilar </t>
  </si>
  <si>
    <t xml:space="preserve">2 - 3 </t>
  </si>
  <si>
    <t>Norvegiya</t>
  </si>
  <si>
    <t xml:space="preserve">0 - 4 </t>
  </si>
  <si>
    <t>Paragvay</t>
  </si>
  <si>
    <t xml:space="preserve">4 - 0 </t>
  </si>
  <si>
    <t>Ruminiya</t>
  </si>
  <si>
    <t>Salvador</t>
  </si>
  <si>
    <t xml:space="preserve">3 - 0 </t>
  </si>
  <si>
    <t>Sharqiy Germaniya</t>
  </si>
  <si>
    <t>Shimoliy Irlandiya</t>
  </si>
  <si>
    <t>Shimoliy Koreya</t>
  </si>
  <si>
    <t>Shotlandiya</t>
  </si>
  <si>
    <t>Sloveniya</t>
  </si>
  <si>
    <t xml:space="preserve">5 - 1 </t>
  </si>
  <si>
    <t>SSSR</t>
  </si>
  <si>
    <t xml:space="preserve">Yuichi Nishimura </t>
  </si>
  <si>
    <t xml:space="preserve">Soccer City </t>
  </si>
  <si>
    <t xml:space="preserve">Nelson Mandela Bay Stadium </t>
  </si>
  <si>
    <t xml:space="preserve">Benito Archundia </t>
  </si>
  <si>
    <t>Vengriya</t>
  </si>
  <si>
    <t xml:space="preserve">Moses Mabhida Stadium </t>
  </si>
  <si>
    <t xml:space="preserve">Viktor Kassai </t>
  </si>
  <si>
    <t>Xitoy</t>
  </si>
  <si>
    <t xml:space="preserve">Cape Town Stadium </t>
  </si>
  <si>
    <t xml:space="preserve">Ellis Park Stadium </t>
  </si>
  <si>
    <t xml:space="preserve">Carlos Batres </t>
  </si>
  <si>
    <t>Yamayka</t>
  </si>
  <si>
    <t>Yangi Zelandiya</t>
  </si>
  <si>
    <t xml:space="preserve">Olegario Benquerenca </t>
  </si>
  <si>
    <t xml:space="preserve">Héctor Baldassi </t>
  </si>
  <si>
    <t xml:space="preserve">Loftus Versfeld Stadium </t>
  </si>
  <si>
    <t xml:space="preserve">Frank de Bleeckere </t>
  </si>
  <si>
    <t>Slovakia</t>
  </si>
  <si>
    <t xml:space="preserve">Alberto Undiano Mallenco </t>
  </si>
  <si>
    <t xml:space="preserve">Roberto Rosetti </t>
  </si>
  <si>
    <t xml:space="preserve">Free State Stadium </t>
  </si>
  <si>
    <t xml:space="preserve">Jorge Larrionda </t>
  </si>
  <si>
    <t xml:space="preserve">1 - 4 </t>
  </si>
  <si>
    <t xml:space="preserve">Royal Bafokeng Stadium </t>
  </si>
  <si>
    <t xml:space="preserve">Wolfgang Stark </t>
  </si>
  <si>
    <t xml:space="preserve">Mbombela Stadium </t>
  </si>
  <si>
    <t xml:space="preserve">Peter Mokoba Stadium </t>
  </si>
  <si>
    <t xml:space="preserve">Yuichi Nishamura </t>
  </si>
  <si>
    <t xml:space="preserve">Pablo Pozo </t>
  </si>
  <si>
    <t xml:space="preserve">Jerome Damon </t>
  </si>
  <si>
    <t xml:space="preserve">Carlos Simon </t>
  </si>
  <si>
    <t xml:space="preserve">Oscar Ruiz </t>
  </si>
  <si>
    <t xml:space="preserve">Khalil Al Ghamdi </t>
  </si>
  <si>
    <t xml:space="preserve">0 - 7 </t>
  </si>
  <si>
    <t xml:space="preserve">Stephane Lannoy </t>
  </si>
  <si>
    <t xml:space="preserve">Eddy Maillet </t>
  </si>
  <si>
    <t xml:space="preserve">Robert Rosetti </t>
  </si>
  <si>
    <t xml:space="preserve">Koman Coulibaly </t>
  </si>
  <si>
    <t xml:space="preserve">Massimo Busacca </t>
  </si>
  <si>
    <t xml:space="preserve">Benito Arcundia </t>
  </si>
  <si>
    <t xml:space="preserve">Marco Antonio Rodríguez </t>
  </si>
  <si>
    <t xml:space="preserve">Michael Hester </t>
  </si>
  <si>
    <t xml:space="preserve">Olympiastadion </t>
  </si>
  <si>
    <t xml:space="preserve">Horacio Elizondo </t>
  </si>
  <si>
    <t xml:space="preserve">Mercedes-Benz Arena </t>
  </si>
  <si>
    <t xml:space="preserve">Toru Kamikawa </t>
  </si>
  <si>
    <t xml:space="preserve">Allianz Arena </t>
  </si>
  <si>
    <t xml:space="preserve">Westfalenstadion </t>
  </si>
  <si>
    <t xml:space="preserve">Commerzbank-Arena </t>
  </si>
  <si>
    <t xml:space="preserve">Luis Medina Cantalejo </t>
  </si>
  <si>
    <t xml:space="preserve">Veltins-Arena </t>
  </si>
  <si>
    <t xml:space="preserve">Horacio Elizondo 52000 </t>
  </si>
  <si>
    <t>Ukraine</t>
  </si>
  <si>
    <t xml:space="preserve">Volksparkstadion </t>
  </si>
  <si>
    <t xml:space="preserve">Lubos Michel </t>
  </si>
  <si>
    <t xml:space="preserve">AWD-Arena </t>
  </si>
  <si>
    <t xml:space="preserve">RheinEnergieStadion </t>
  </si>
  <si>
    <t xml:space="preserve">Fritz-Walter-Stadion </t>
  </si>
  <si>
    <t xml:space="preserve">Frankenstadion </t>
  </si>
  <si>
    <t xml:space="preserve">Valentin Ivanov </t>
  </si>
  <si>
    <t xml:space="preserve">Red Bull Arena (Leipzig) </t>
  </si>
  <si>
    <t xml:space="preserve">Carlos Amarilla </t>
  </si>
  <si>
    <t>Togo</t>
  </si>
  <si>
    <t xml:space="preserve">Graham Poll </t>
  </si>
  <si>
    <t xml:space="preserve">Signal Iduna Park </t>
  </si>
  <si>
    <t xml:space="preserve">Eric Poulat </t>
  </si>
  <si>
    <t xml:space="preserve">Markus Merk </t>
  </si>
  <si>
    <t xml:space="preserve">Mark Shield </t>
  </si>
  <si>
    <t xml:space="preserve">Lubos Michel 52000 </t>
  </si>
  <si>
    <t>Serbia and Montenegro</t>
  </si>
  <si>
    <t>Trinidad and Tobago</t>
  </si>
  <si>
    <t xml:space="preserve">Shamsul Maidin </t>
  </si>
  <si>
    <t xml:space="preserve">6 - 0 </t>
  </si>
  <si>
    <t xml:space="preserve">Coffi Codija </t>
  </si>
  <si>
    <t xml:space="preserve">Essam Abd El Fatah </t>
  </si>
  <si>
    <t xml:space="preserve">2 - 4 </t>
  </si>
  <si>
    <t xml:space="preserve">International Stadium Yokohama </t>
  </si>
  <si>
    <t xml:space="preserve">Pierluigi Collina </t>
  </si>
  <si>
    <t>Turkey</t>
  </si>
  <si>
    <t xml:space="preserve">Daegu World Cup Stadium </t>
  </si>
  <si>
    <t xml:space="preserve">Saad Mane </t>
  </si>
  <si>
    <t xml:space="preserve">Saitama Stadium 2002 </t>
  </si>
  <si>
    <t xml:space="preserve">Kim Milton Nielsen </t>
  </si>
  <si>
    <t xml:space="preserve">Seoul World Cup Stadium </t>
  </si>
  <si>
    <t xml:space="preserve">Urs Meier </t>
  </si>
  <si>
    <t xml:space="preserve">Nagai Stadium </t>
  </si>
  <si>
    <t xml:space="preserve">Gwangju World Cup Stadium </t>
  </si>
  <si>
    <t xml:space="preserve">Gamal Al-Ghandour </t>
  </si>
  <si>
    <t xml:space="preserve">Ulsan Munsu Football Stadium </t>
  </si>
  <si>
    <t xml:space="preserve">Hugh Dallas </t>
  </si>
  <si>
    <t xml:space="preserve">Shizuoka Stadium </t>
  </si>
  <si>
    <t xml:space="preserve">Felipe Ramos </t>
  </si>
  <si>
    <t xml:space="preserve">Daejeon World Cup Stadium </t>
  </si>
  <si>
    <t xml:space="preserve">Byron Moreno </t>
  </si>
  <si>
    <t xml:space="preserve">Miyagi Stadium </t>
  </si>
  <si>
    <t xml:space="preserve">Pierluigi Colina </t>
  </si>
  <si>
    <t xml:space="preserve">Home's Stadium Kobe </t>
  </si>
  <si>
    <t xml:space="preserve">Peter Prendergast </t>
  </si>
  <si>
    <t xml:space="preserve">Jeonju World Cup Stadium </t>
  </si>
  <si>
    <t xml:space="preserve">Vitor Melo Pereira </t>
  </si>
  <si>
    <t xml:space="preserve">Suwon World Cup Stadium </t>
  </si>
  <si>
    <t xml:space="preserve">Anders Frisk </t>
  </si>
  <si>
    <t xml:space="preserve">Ōita Bank Dome </t>
  </si>
  <si>
    <t xml:space="preserve">Ubaldo Aquino </t>
  </si>
  <si>
    <t xml:space="preserve">Tohoku Electric Power Big S... </t>
  </si>
  <si>
    <t xml:space="preserve">Jeju World Cup Stadium </t>
  </si>
  <si>
    <t xml:space="preserve">Gilles Veissiere </t>
  </si>
  <si>
    <t xml:space="preserve">Lu Jun </t>
  </si>
  <si>
    <t xml:space="preserve">Incheon Munhak Stadium </t>
  </si>
  <si>
    <t xml:space="preserve">Angel Sánchez </t>
  </si>
  <si>
    <t xml:space="preserve">William Mattus </t>
  </si>
  <si>
    <t xml:space="preserve">Brian Hall </t>
  </si>
  <si>
    <t xml:space="preserve">Ali Bujsaim </t>
  </si>
  <si>
    <t xml:space="preserve">Falla N'Doye </t>
  </si>
  <si>
    <t xml:space="preserve">Antonio Lopez Nieto </t>
  </si>
  <si>
    <t xml:space="preserve">Jan Wegereef </t>
  </si>
  <si>
    <t xml:space="preserve">3 - 3 </t>
  </si>
  <si>
    <t xml:space="preserve">Mourad Daami </t>
  </si>
  <si>
    <t xml:space="preserve">Coffi Codjia </t>
  </si>
  <si>
    <t xml:space="preserve">Kashima Soccer Stadium </t>
  </si>
  <si>
    <t xml:space="preserve">Sapporo Dome </t>
  </si>
  <si>
    <t xml:space="preserve">René Ortubé </t>
  </si>
  <si>
    <t xml:space="preserve">Terje Hauge </t>
  </si>
  <si>
    <t xml:space="preserve">Busan Asiad Main Stadium </t>
  </si>
  <si>
    <t xml:space="preserve">Kyros Vassaras </t>
  </si>
  <si>
    <t xml:space="preserve">Kim Young-Joo </t>
  </si>
  <si>
    <t xml:space="preserve">Mohamed Guezzaz </t>
  </si>
  <si>
    <t xml:space="preserve">8 - 0 </t>
  </si>
  <si>
    <t xml:space="preserve">Stade de Fransiya </t>
  </si>
  <si>
    <t xml:space="preserve">Said Belqola </t>
  </si>
  <si>
    <t xml:space="preserve">Parc des Princes </t>
  </si>
  <si>
    <t xml:space="preserve">Epifanio González </t>
  </si>
  <si>
    <t xml:space="preserve">Jose Garcia-Aranda </t>
  </si>
  <si>
    <t xml:space="preserve">Stade Vélodrome </t>
  </si>
  <si>
    <t xml:space="preserve">Stade de Gerland </t>
  </si>
  <si>
    <t xml:space="preserve">Rune Pedersen </t>
  </si>
  <si>
    <t xml:space="preserve">Arturo Brizio Carter </t>
  </si>
  <si>
    <t xml:space="preserve">Stade de la Beaujoire </t>
  </si>
  <si>
    <t xml:space="preserve">Stade Geoffroy-Guichard </t>
  </si>
  <si>
    <t xml:space="preserve">Stade Chaban-Delmas </t>
  </si>
  <si>
    <t xml:space="preserve">Javier Castrilli </t>
  </si>
  <si>
    <t>Yugoslavia</t>
  </si>
  <si>
    <t xml:space="preserve">Stade Municipal de Toulouse </t>
  </si>
  <si>
    <t xml:space="preserve">Stade de la Mosson </t>
  </si>
  <si>
    <t xml:space="preserve">Stade Félix-Bollaert </t>
  </si>
  <si>
    <t xml:space="preserve">Marc Batta </t>
  </si>
  <si>
    <t xml:space="preserve">Bernd Heynemann </t>
  </si>
  <si>
    <t xml:space="preserve">Gunter Benko </t>
  </si>
  <si>
    <t xml:space="preserve">Edward Lennie </t>
  </si>
  <si>
    <t xml:space="preserve">Márcio Rezende de Freitas </t>
  </si>
  <si>
    <t xml:space="preserve">Abdul Rahman Al-Zeid </t>
  </si>
  <si>
    <t xml:space="preserve">Mario van der Ende </t>
  </si>
  <si>
    <t xml:space="preserve">1 - 6 </t>
  </si>
  <si>
    <t xml:space="preserve">Pirom Un-Prasert </t>
  </si>
  <si>
    <t xml:space="preserve">Mario Sánchez </t>
  </si>
  <si>
    <t xml:space="preserve">Laszlo Vagner </t>
  </si>
  <si>
    <t xml:space="preserve">Paul Durkin </t>
  </si>
  <si>
    <t xml:space="preserve">Esfandiar Baharmast </t>
  </si>
  <si>
    <t xml:space="preserve">5 - 0 </t>
  </si>
  <si>
    <t xml:space="preserve">Ramesh Ramdhan </t>
  </si>
  <si>
    <t xml:space="preserve">Ryszard Wojcik </t>
  </si>
  <si>
    <t xml:space="preserve">Ian McLeod </t>
  </si>
  <si>
    <t xml:space="preserve">Mario Sanchez Yanten </t>
  </si>
  <si>
    <t xml:space="preserve">John Toro Rendon </t>
  </si>
  <si>
    <t xml:space="preserve">Nikolai Levnikov </t>
  </si>
  <si>
    <t xml:space="preserve">Lim Kee Chong </t>
  </si>
  <si>
    <t xml:space="preserve">Masayoshi Okada </t>
  </si>
  <si>
    <t xml:space="preserve">Alberto Tejada </t>
  </si>
  <si>
    <t xml:space="preserve">Lucien Bouchardeau </t>
  </si>
  <si>
    <t xml:space="preserve">Jose Garia Aranda </t>
  </si>
  <si>
    <t xml:space="preserve">Rose Bowl </t>
  </si>
  <si>
    <t xml:space="preserve">Sandor Puhl </t>
  </si>
  <si>
    <t xml:space="preserve">Jose Torres Cadena </t>
  </si>
  <si>
    <t xml:space="preserve">Giants Stadium </t>
  </si>
  <si>
    <t xml:space="preserve">Joel Quiniou </t>
  </si>
  <si>
    <t xml:space="preserve">Stanford Stadium </t>
  </si>
  <si>
    <t xml:space="preserve">Philip Don </t>
  </si>
  <si>
    <t xml:space="preserve">Cotton Bowl </t>
  </si>
  <si>
    <t xml:space="preserve">Rodrigo Badilla </t>
  </si>
  <si>
    <t xml:space="preserve">Foxboro Stadium </t>
  </si>
  <si>
    <t xml:space="preserve">Jamal Al-Sharif </t>
  </si>
  <si>
    <t xml:space="preserve">Citrus Bowl </t>
  </si>
  <si>
    <t xml:space="preserve">Peter Mikkelsen </t>
  </si>
  <si>
    <t xml:space="preserve">Pierluigi Pairetto </t>
  </si>
  <si>
    <t xml:space="preserve">Renato Marsiglia </t>
  </si>
  <si>
    <t xml:space="preserve">RFK Stadium </t>
  </si>
  <si>
    <t xml:space="preserve">Soldier Field </t>
  </si>
  <si>
    <t xml:space="preserve">Kurt Röthlisberger </t>
  </si>
  <si>
    <t xml:space="preserve">Leslie Mottram </t>
  </si>
  <si>
    <t xml:space="preserve">Neji Jouini </t>
  </si>
  <si>
    <t xml:space="preserve">Alberto Tejada Noriega </t>
  </si>
  <si>
    <t xml:space="preserve">Helmut Krug </t>
  </si>
  <si>
    <t xml:space="preserve">Francisco Oscar Lamolina </t>
  </si>
  <si>
    <t xml:space="preserve">Silverdome </t>
  </si>
  <si>
    <t xml:space="preserve">Bo Karlsson </t>
  </si>
  <si>
    <t xml:space="preserve">Fabio Baldas </t>
  </si>
  <si>
    <t xml:space="preserve">Arturo Angeles </t>
  </si>
  <si>
    <t xml:space="preserve">Filippi Cavani </t>
  </si>
  <si>
    <t xml:space="preserve">Manuel Diaz Vega </t>
  </si>
  <si>
    <t xml:space="preserve">Stadio Olimpico </t>
  </si>
  <si>
    <t xml:space="preserve">Edgardo Codesal </t>
  </si>
  <si>
    <t xml:space="preserve">Stadio San Nicola </t>
  </si>
  <si>
    <t xml:space="preserve">Stadio delle Alpi </t>
  </si>
  <si>
    <t xml:space="preserve">José Roberto Wright </t>
  </si>
  <si>
    <t xml:space="preserve">Stadio San Paolo </t>
  </si>
  <si>
    <t xml:space="preserve">Michel Vautrot </t>
  </si>
  <si>
    <t xml:space="preserve">San Siro </t>
  </si>
  <si>
    <t xml:space="preserve">Helmut Kohl </t>
  </si>
  <si>
    <t xml:space="preserve">Carlos Silva Valente </t>
  </si>
  <si>
    <t xml:space="preserve">Stadio Artemio Franchi </t>
  </si>
  <si>
    <t xml:space="preserve">Stadio Renato Dall'Ara </t>
  </si>
  <si>
    <t xml:space="preserve">Stadio Marc'Antonio Bentegodi </t>
  </si>
  <si>
    <t xml:space="preserve">Aron Schmidhuber </t>
  </si>
  <si>
    <t xml:space="preserve">George Courtney </t>
  </si>
  <si>
    <t xml:space="preserve">Stadio Luigi Ferraris </t>
  </si>
  <si>
    <t xml:space="preserve">Juan Carlos Loustau </t>
  </si>
  <si>
    <t xml:space="preserve">Siegfried Kirschen </t>
  </si>
  <si>
    <t xml:space="preserve">Tullio Lanense </t>
  </si>
  <si>
    <t xml:space="preserve">Stadio Renzo Barbera </t>
  </si>
  <si>
    <t xml:space="preserve">Stadio Sant'Elia </t>
  </si>
  <si>
    <t xml:space="preserve">Stadio Friuli </t>
  </si>
  <si>
    <t xml:space="preserve">Tullio Lanese </t>
  </si>
  <si>
    <t xml:space="preserve">Zoran Petrovic </t>
  </si>
  <si>
    <t xml:space="preserve">Shizuo Takada </t>
  </si>
  <si>
    <t xml:space="preserve">Alan Snoddy </t>
  </si>
  <si>
    <t xml:space="preserve">Marcel van Langenhove </t>
  </si>
  <si>
    <t xml:space="preserve">Elías Jácome </t>
  </si>
  <si>
    <t xml:space="preserve">Carlos Maciel </t>
  </si>
  <si>
    <t xml:space="preserve">Alexey Spirin </t>
  </si>
  <si>
    <t xml:space="preserve">George Smith </t>
  </si>
  <si>
    <t xml:space="preserve">Luigi Agnolin </t>
  </si>
  <si>
    <t xml:space="preserve">Hernán Silva </t>
  </si>
  <si>
    <t xml:space="preserve">Erik Fredriksson </t>
  </si>
  <si>
    <t xml:space="preserve">Emilio Soriano Aladren </t>
  </si>
  <si>
    <t xml:space="preserve">Vince Mauro </t>
  </si>
  <si>
    <t xml:space="preserve">Juan Daniel Cardellino </t>
  </si>
  <si>
    <t xml:space="preserve">Estadio Azteca </t>
  </si>
  <si>
    <t xml:space="preserve">Romualdo Arppi Filho </t>
  </si>
  <si>
    <t xml:space="preserve">Estadio Cuauhtémoc </t>
  </si>
  <si>
    <t xml:space="preserve">Antonio Marquez Ramirez </t>
  </si>
  <si>
    <t xml:space="preserve">Estadio Jalisco </t>
  </si>
  <si>
    <t xml:space="preserve">Ali Bin Nasser </t>
  </si>
  <si>
    <t xml:space="preserve">Estadio Universitario de Mo... </t>
  </si>
  <si>
    <t xml:space="preserve">Jesús Díaz </t>
  </si>
  <si>
    <t xml:space="preserve">Ioan Igna </t>
  </si>
  <si>
    <t xml:space="preserve">Estadio Corregidora </t>
  </si>
  <si>
    <t xml:space="preserve">Jan Keizer </t>
  </si>
  <si>
    <t xml:space="preserve">1 - 5 </t>
  </si>
  <si>
    <t xml:space="preserve">Estadio Olímpico Universitario </t>
  </si>
  <si>
    <t xml:space="preserve">Volker Roth </t>
  </si>
  <si>
    <t xml:space="preserve">Estadio León </t>
  </si>
  <si>
    <t xml:space="preserve">4 - 3 </t>
  </si>
  <si>
    <t xml:space="preserve">Estadio Neza 86 </t>
  </si>
  <si>
    <t xml:space="preserve">Alexis Ponnet </t>
  </si>
  <si>
    <t xml:space="preserve">Estadio Tecnológico </t>
  </si>
  <si>
    <t xml:space="preserve">Estadio Tres de Marzo </t>
  </si>
  <si>
    <t xml:space="preserve">Andre Daina </t>
  </si>
  <si>
    <t xml:space="preserve">Estadio Nemesio Díez </t>
  </si>
  <si>
    <t xml:space="preserve">Bogdan Dotchev </t>
  </si>
  <si>
    <t xml:space="preserve">Berny Ulloa Morera </t>
  </si>
  <si>
    <t xml:space="preserve">David Socha </t>
  </si>
  <si>
    <t xml:space="preserve">Estadio Sergio León Chávez </t>
  </si>
  <si>
    <t xml:space="preserve">Idriss Traore </t>
  </si>
  <si>
    <t xml:space="preserve">6 - 1 </t>
  </si>
  <si>
    <t xml:space="preserve">Ali Bin Nassar </t>
  </si>
  <si>
    <t xml:space="preserve">Horst Brummeier </t>
  </si>
  <si>
    <t xml:space="preserve">Gabriel González </t>
  </si>
  <si>
    <t xml:space="preserve">Romulo Mendez </t>
  </si>
  <si>
    <t xml:space="preserve">Fallaj Al Shanar </t>
  </si>
  <si>
    <t xml:space="preserve">Lajos Nemeth </t>
  </si>
  <si>
    <t xml:space="preserve">Vojtech Christov </t>
  </si>
  <si>
    <t xml:space="preserve">Edwin Picon-Ackong </t>
  </si>
  <si>
    <t xml:space="preserve">Valeri Butenko </t>
  </si>
  <si>
    <t xml:space="preserve">Carlos Espósito </t>
  </si>
  <si>
    <t xml:space="preserve">José Luis Martínez Bazán </t>
  </si>
  <si>
    <t xml:space="preserve">0 - 6 </t>
  </si>
  <si>
    <t xml:space="preserve">Victoriano Sanchez Arminio </t>
  </si>
  <si>
    <t xml:space="preserve">Chris Bambridge </t>
  </si>
  <si>
    <t xml:space="preserve">Estadio Santiago Bernabéu </t>
  </si>
  <si>
    <t xml:space="preserve">Arnaldo César Coelho </t>
  </si>
  <si>
    <t xml:space="preserve">Estadio José Rico Pérez </t>
  </si>
  <si>
    <t xml:space="preserve">Antonio Garrido </t>
  </si>
  <si>
    <t xml:space="preserve">Estadio Ramón Sánchez Pizjuán </t>
  </si>
  <si>
    <t xml:space="preserve">Charles Corver </t>
  </si>
  <si>
    <t xml:space="preserve">Camp Nou </t>
  </si>
  <si>
    <t xml:space="preserve">Estadi de Sarrià </t>
  </si>
  <si>
    <t xml:space="preserve">Abraham Klein </t>
  </si>
  <si>
    <t xml:space="preserve">Estadio Vicente Calderón </t>
  </si>
  <si>
    <t xml:space="preserve">Alojzy Jarguz </t>
  </si>
  <si>
    <t xml:space="preserve">Bob Valentine </t>
  </si>
  <si>
    <t xml:space="preserve">Mario Rubio Vazquez </t>
  </si>
  <si>
    <t xml:space="preserve">Paolo Casarin </t>
  </si>
  <si>
    <t xml:space="preserve">Adolf Prokop </t>
  </si>
  <si>
    <t xml:space="preserve">Nicolae Rainea </t>
  </si>
  <si>
    <t xml:space="preserve">Károly Palotai </t>
  </si>
  <si>
    <t xml:space="preserve">Luis Paulino Siles </t>
  </si>
  <si>
    <t>5-guruh</t>
  </si>
  <si>
    <t xml:space="preserve">Estadio de Mestalla </t>
  </si>
  <si>
    <t xml:space="preserve">Héctor Ortíz </t>
  </si>
  <si>
    <t>4-guruh</t>
  </si>
  <si>
    <t>Kuwait</t>
  </si>
  <si>
    <t xml:space="preserve">Estadio San Mamés </t>
  </si>
  <si>
    <t xml:space="preserve">Gilberto Aristizábal </t>
  </si>
  <si>
    <t>2-guruh</t>
  </si>
  <si>
    <t xml:space="preserve">El Molinon </t>
  </si>
  <si>
    <t xml:space="preserve">La Romareda </t>
  </si>
  <si>
    <t xml:space="preserve">Gastón Castro </t>
  </si>
  <si>
    <t xml:space="preserve">Estadio Nuevo José Zorrilla </t>
  </si>
  <si>
    <t xml:space="preserve">Estadio Carlos Tartiere </t>
  </si>
  <si>
    <t>6-guruh</t>
  </si>
  <si>
    <t xml:space="preserve">Estadio Benito Villamarín </t>
  </si>
  <si>
    <t xml:space="preserve">Damir Matovinovic </t>
  </si>
  <si>
    <t>3-guruh</t>
  </si>
  <si>
    <t xml:space="preserve">Luis Barrancos </t>
  </si>
  <si>
    <t>1-guruh</t>
  </si>
  <si>
    <t xml:space="preserve">Balaídos </t>
  </si>
  <si>
    <t xml:space="preserve">Estadio La Rosaleda </t>
  </si>
  <si>
    <t xml:space="preserve">Estadio Manuel Martínez Valero </t>
  </si>
  <si>
    <t xml:space="preserve">Clive White </t>
  </si>
  <si>
    <t xml:space="preserve">Estadio Riazor </t>
  </si>
  <si>
    <t xml:space="preserve">Chan Tam Sun </t>
  </si>
  <si>
    <t xml:space="preserve">Miroslav Stupar </t>
  </si>
  <si>
    <t xml:space="preserve">Tony Boskovic </t>
  </si>
  <si>
    <t xml:space="preserve">Henning Lund-Sorensen </t>
  </si>
  <si>
    <t xml:space="preserve">Bruno Galler </t>
  </si>
  <si>
    <t xml:space="preserve">Yousef El-Ghoul </t>
  </si>
  <si>
    <t xml:space="preserve">Malcolm Moffatt </t>
  </si>
  <si>
    <t xml:space="preserve">Belaid Lacarne </t>
  </si>
  <si>
    <t xml:space="preserve">Walter Eschweiler </t>
  </si>
  <si>
    <t xml:space="preserve">Benjamin Dwomoh </t>
  </si>
  <si>
    <t xml:space="preserve">Arturo Ithurralde </t>
  </si>
  <si>
    <t xml:space="preserve">Enrique Labo Revoredo </t>
  </si>
  <si>
    <t xml:space="preserve">2 - 5 </t>
  </si>
  <si>
    <t xml:space="preserve">Ibrahim Youssef Al-Doy </t>
  </si>
  <si>
    <t xml:space="preserve">1 - 10 </t>
  </si>
  <si>
    <t xml:space="preserve">Franz Wohrer </t>
  </si>
  <si>
    <t xml:space="preserve">Augusto Lamo Castillo </t>
  </si>
  <si>
    <t xml:space="preserve">Estadio Monumental Antonio ... </t>
  </si>
  <si>
    <t xml:space="preserve">Sergio Gonella </t>
  </si>
  <si>
    <t/>
  </si>
  <si>
    <t xml:space="preserve">Estadio Gigante de Arroyito </t>
  </si>
  <si>
    <t xml:space="preserve">Robert Wurtz </t>
  </si>
  <si>
    <t xml:space="preserve">Estadio Malvinas Argentinas </t>
  </si>
  <si>
    <t xml:space="preserve">Juan Silvagno Cavanna </t>
  </si>
  <si>
    <t xml:space="preserve">Angel Franco Martinez </t>
  </si>
  <si>
    <t xml:space="preserve">Estadio Mario Alberto Kempes </t>
  </si>
  <si>
    <t xml:space="preserve">Pat Partridge </t>
  </si>
  <si>
    <t xml:space="preserve">Francis Rion </t>
  </si>
  <si>
    <t xml:space="preserve">Ramón Barreto </t>
  </si>
  <si>
    <t xml:space="preserve">Ulf Eriksson </t>
  </si>
  <si>
    <t xml:space="preserve">Dusan Maksimovic </t>
  </si>
  <si>
    <t xml:space="preserve">John Gordon </t>
  </si>
  <si>
    <t xml:space="preserve">Erich Linemayr </t>
  </si>
  <si>
    <t xml:space="preserve">Estadio José María Minella </t>
  </si>
  <si>
    <t xml:space="preserve">Estadio Jose Amalfitani </t>
  </si>
  <si>
    <t xml:space="preserve">Ferdinand Biwersi </t>
  </si>
  <si>
    <t xml:space="preserve">Jafar Namdar </t>
  </si>
  <si>
    <t xml:space="preserve">Cesar Guerrero Orosco </t>
  </si>
  <si>
    <t xml:space="preserve">Youssou N'Diaye </t>
  </si>
  <si>
    <t xml:space="preserve">Farouk Bouzo </t>
  </si>
  <si>
    <t xml:space="preserve">Jean Dubach </t>
  </si>
  <si>
    <t xml:space="preserve">Alfonso Gonzalez Archundia </t>
  </si>
  <si>
    <t xml:space="preserve">Clive Thomas </t>
  </si>
  <si>
    <t xml:space="preserve">Ángel Norberto Coerezza </t>
  </si>
  <si>
    <t xml:space="preserve">Jack Taylor </t>
  </si>
  <si>
    <t xml:space="preserve">Aurelio Angonese </t>
  </si>
  <si>
    <t xml:space="preserve">Rheinstadion </t>
  </si>
  <si>
    <t xml:space="preserve">Luis Pestarino </t>
  </si>
  <si>
    <t xml:space="preserve">Kurt Tschenscher </t>
  </si>
  <si>
    <t xml:space="preserve">Parkstadion </t>
  </si>
  <si>
    <t xml:space="preserve">Pavel Kazakov </t>
  </si>
  <si>
    <t xml:space="preserve">Rudi Glockner </t>
  </si>
  <si>
    <t xml:space="preserve">Rudolf Scheurer </t>
  </si>
  <si>
    <t xml:space="preserve">Vital Loraux </t>
  </si>
  <si>
    <t xml:space="preserve">Armando Marques </t>
  </si>
  <si>
    <t xml:space="preserve">Bob Davidson </t>
  </si>
  <si>
    <t xml:space="preserve">Waldstadion, Frankfurt/Main </t>
  </si>
  <si>
    <t xml:space="preserve">0 - 9 </t>
  </si>
  <si>
    <t xml:space="preserve">Antonio Sbardella </t>
  </si>
  <si>
    <t xml:space="preserve">Arturo Yamasaki Maldonado </t>
  </si>
  <si>
    <t xml:space="preserve">3 - 4 </t>
  </si>
  <si>
    <t xml:space="preserve">José Maria Ortiz de Mendibil </t>
  </si>
  <si>
    <t xml:space="preserve">Laurens van Ravens </t>
  </si>
  <si>
    <t xml:space="preserve">Antonio Ribeiro Saldanha </t>
  </si>
  <si>
    <t xml:space="preserve">Roger Machin </t>
  </si>
  <si>
    <t xml:space="preserve">Antonio De Moraes </t>
  </si>
  <si>
    <t xml:space="preserve">Abel Aguilar Elizalde </t>
  </si>
  <si>
    <t xml:space="preserve">Ferdinand Marschall </t>
  </si>
  <si>
    <t xml:space="preserve">Henry Landauer </t>
  </si>
  <si>
    <t xml:space="preserve">Rafael Hormazabal Diaz </t>
  </si>
  <si>
    <t xml:space="preserve">Seyoum Tarekegn </t>
  </si>
  <si>
    <t xml:space="preserve">Ali Kandil </t>
  </si>
  <si>
    <t xml:space="preserve">Tofik Bakhramov </t>
  </si>
  <si>
    <t xml:space="preserve">Diego de Leo </t>
  </si>
  <si>
    <t xml:space="preserve">Andrei Radulescu </t>
  </si>
  <si>
    <t xml:space="preserve">Vital Lourax </t>
  </si>
  <si>
    <t xml:space="preserve">Wembley Stadium </t>
  </si>
  <si>
    <t xml:space="preserve">Gottfried Dienst </t>
  </si>
  <si>
    <t xml:space="preserve">Pierre Schwinte </t>
  </si>
  <si>
    <t xml:space="preserve">Goodison Park </t>
  </si>
  <si>
    <t xml:space="preserve">Concetto Lo Bello </t>
  </si>
  <si>
    <t xml:space="preserve">Rudolf Kreitlein </t>
  </si>
  <si>
    <t xml:space="preserve">Hillsborough Stadium </t>
  </si>
  <si>
    <t xml:space="preserve">Jim Finney </t>
  </si>
  <si>
    <t xml:space="preserve">Menachem Ashkenazi </t>
  </si>
  <si>
    <t xml:space="preserve">3 - 5 </t>
  </si>
  <si>
    <t xml:space="preserve">Roker Park </t>
  </si>
  <si>
    <t xml:space="preserve">Juan Gardeazabal Garay </t>
  </si>
  <si>
    <t xml:space="preserve">John Adair </t>
  </si>
  <si>
    <t xml:space="preserve">Arturo Yamasaki </t>
  </si>
  <si>
    <t xml:space="preserve">Old Trafford </t>
  </si>
  <si>
    <t xml:space="preserve">Roberto Goicoechea </t>
  </si>
  <si>
    <t xml:space="preserve">Villa Park </t>
  </si>
  <si>
    <t xml:space="preserve">Ayresome Park </t>
  </si>
  <si>
    <t xml:space="preserve">George McCabe </t>
  </si>
  <si>
    <t xml:space="preserve">Joaquim Campos </t>
  </si>
  <si>
    <t xml:space="preserve">Bertil Loow </t>
  </si>
  <si>
    <t xml:space="preserve">Jose Maria Codesal </t>
  </si>
  <si>
    <t xml:space="preserve">Konstantin Zecevic </t>
  </si>
  <si>
    <t xml:space="preserve">Ken Dagnall </t>
  </si>
  <si>
    <t xml:space="preserve">White City Stadium </t>
  </si>
  <si>
    <t xml:space="preserve">Karol Galba </t>
  </si>
  <si>
    <t xml:space="preserve">Leo Callaghan </t>
  </si>
  <si>
    <t xml:space="preserve">Dimiter Rumentchev </t>
  </si>
  <si>
    <t xml:space="preserve">Hugh Phillips </t>
  </si>
  <si>
    <t xml:space="preserve">Istvan Zsolt </t>
  </si>
  <si>
    <t xml:space="preserve">Estadio Nacional Julio Mart... </t>
  </si>
  <si>
    <t xml:space="preserve">Nikolay Latyshev </t>
  </si>
  <si>
    <t xml:space="preserve">Estadio Sausalito </t>
  </si>
  <si>
    <t xml:space="preserve">Estadio El Teniente </t>
  </si>
  <si>
    <t xml:space="preserve">Estadio Carlos Dittborn </t>
  </si>
  <si>
    <t xml:space="preserve">Leo Horn </t>
  </si>
  <si>
    <t xml:space="preserve">Antoine Blavier </t>
  </si>
  <si>
    <t xml:space="preserve">Carlos Robles </t>
  </si>
  <si>
    <t xml:space="preserve">0 - 5 </t>
  </si>
  <si>
    <t xml:space="preserve">Sergio Bustamante </t>
  </si>
  <si>
    <t xml:space="preserve">Robert Holley Davidson </t>
  </si>
  <si>
    <t xml:space="preserve">Cesare Jonni </t>
  </si>
  <si>
    <t xml:space="preserve">Branko Tesanic </t>
  </si>
  <si>
    <t xml:space="preserve">João Etzel Filho </t>
  </si>
  <si>
    <t xml:space="preserve">4 - 4 </t>
  </si>
  <si>
    <t xml:space="preserve">Kenneth Aston </t>
  </si>
  <si>
    <t xml:space="preserve">Carl Erich Steiner </t>
  </si>
  <si>
    <t xml:space="preserve">Albert Dusch </t>
  </si>
  <si>
    <t xml:space="preserve">Juan Gardeazabal </t>
  </si>
  <si>
    <t xml:space="preserve">Andor Dorogi </t>
  </si>
  <si>
    <t xml:space="preserve">Råsunda Stadium </t>
  </si>
  <si>
    <t xml:space="preserve">Maurice Guigue </t>
  </si>
  <si>
    <t xml:space="preserve">Ullevi </t>
  </si>
  <si>
    <t xml:space="preserve">Brozzi </t>
  </si>
  <si>
    <t xml:space="preserve">6 - 3 </t>
  </si>
  <si>
    <t xml:space="preserve">Zsolt </t>
  </si>
  <si>
    <t xml:space="preserve">Malmö Stadion </t>
  </si>
  <si>
    <t xml:space="preserve">Wyssling </t>
  </si>
  <si>
    <t>Wales</t>
  </si>
  <si>
    <t xml:space="preserve">Seipelt </t>
  </si>
  <si>
    <t xml:space="preserve">Leafe </t>
  </si>
  <si>
    <t xml:space="preserve">Idrottsparken </t>
  </si>
  <si>
    <t xml:space="preserve">Gardeazabal </t>
  </si>
  <si>
    <t xml:space="preserve">Dusch </t>
  </si>
  <si>
    <t xml:space="preserve">Guigue </t>
  </si>
  <si>
    <t xml:space="preserve">Ryavallen </t>
  </si>
  <si>
    <t xml:space="preserve">Bronkhorst </t>
  </si>
  <si>
    <t xml:space="preserve">Jernvallen </t>
  </si>
  <si>
    <t xml:space="preserve">Eriksson </t>
  </si>
  <si>
    <t xml:space="preserve">Van Nuffel </t>
  </si>
  <si>
    <t xml:space="preserve">Tunavallen </t>
  </si>
  <si>
    <t xml:space="preserve">Macko </t>
  </si>
  <si>
    <t xml:space="preserve">Eyravallen </t>
  </si>
  <si>
    <t xml:space="preserve">Ellis </t>
  </si>
  <si>
    <t xml:space="preserve">Campos </t>
  </si>
  <si>
    <t xml:space="preserve">Mowat </t>
  </si>
  <si>
    <t xml:space="preserve">Jorgensen </t>
  </si>
  <si>
    <t xml:space="preserve">Lemesic </t>
  </si>
  <si>
    <t xml:space="preserve">Orlandini </t>
  </si>
  <si>
    <t xml:space="preserve">Arosvallen </t>
  </si>
  <si>
    <t xml:space="preserve">Benjamin Griffiths </t>
  </si>
  <si>
    <t xml:space="preserve">Örjans Vall </t>
  </si>
  <si>
    <t xml:space="preserve">Ahlner </t>
  </si>
  <si>
    <t xml:space="preserve">Rimnersvallen </t>
  </si>
  <si>
    <t xml:space="preserve">Codesal </t>
  </si>
  <si>
    <t xml:space="preserve">Latychev </t>
  </si>
  <si>
    <t xml:space="preserve">7 - 3 </t>
  </si>
  <si>
    <t xml:space="preserve">Wankdorf Stadium </t>
  </si>
  <si>
    <t xml:space="preserve">William Ling </t>
  </si>
  <si>
    <t xml:space="preserve">Hardturm </t>
  </si>
  <si>
    <t xml:space="preserve">Raymon Wyssling </t>
  </si>
  <si>
    <t xml:space="preserve">St. Jakob-Park </t>
  </si>
  <si>
    <t xml:space="preserve">Vincenzo Orlandini </t>
  </si>
  <si>
    <t xml:space="preserve">Stade Olympique de la Pontaise </t>
  </si>
  <si>
    <t xml:space="preserve">Charmilles Stadium </t>
  </si>
  <si>
    <t xml:space="preserve">Istan Zsolt </t>
  </si>
  <si>
    <t xml:space="preserve">Arthur Edward Ellis </t>
  </si>
  <si>
    <t xml:space="preserve">Charlie Faultless </t>
  </si>
  <si>
    <t xml:space="preserve">7 - 5 </t>
  </si>
  <si>
    <t xml:space="preserve">Raymond Vincenti </t>
  </si>
  <si>
    <t xml:space="preserve">7 - 2 </t>
  </si>
  <si>
    <t xml:space="preserve">Cornaredo Stadium </t>
  </si>
  <si>
    <t xml:space="preserve">Esteban Marino </t>
  </si>
  <si>
    <t xml:space="preserve">Ling </t>
  </si>
  <si>
    <t xml:space="preserve">3 - 8 </t>
  </si>
  <si>
    <t xml:space="preserve">Vasa Stefanovic </t>
  </si>
  <si>
    <t xml:space="preserve">Manuel Asensi </t>
  </si>
  <si>
    <t xml:space="preserve">Emil Schmetzer </t>
  </si>
  <si>
    <t xml:space="preserve">Mario Vianna </t>
  </si>
  <si>
    <t xml:space="preserve">9 - 0 </t>
  </si>
  <si>
    <t xml:space="preserve">Jose da Costa Vieira </t>
  </si>
  <si>
    <t xml:space="preserve">Laurent Franken </t>
  </si>
  <si>
    <t xml:space="preserve">George Reader </t>
  </si>
  <si>
    <t xml:space="preserve">Estádio do Pacaembu </t>
  </si>
  <si>
    <t xml:space="preserve">Karl van der Meer </t>
  </si>
  <si>
    <t xml:space="preserve">Giovanni Galeati </t>
  </si>
  <si>
    <t xml:space="preserve">Reginald Leafe </t>
  </si>
  <si>
    <t xml:space="preserve">Arthur Elis </t>
  </si>
  <si>
    <t xml:space="preserve">7 - 1 </t>
  </si>
  <si>
    <t xml:space="preserve">Estádio Independência </t>
  </si>
  <si>
    <t xml:space="preserve">0 - 8 </t>
  </si>
  <si>
    <t xml:space="preserve">Arthur Ellis </t>
  </si>
  <si>
    <t xml:space="preserve">Estádio Ilha do Retiro </t>
  </si>
  <si>
    <t xml:space="preserve">Mario Gardelli </t>
  </si>
  <si>
    <t xml:space="preserve">Estádio dos Eucaliptos </t>
  </si>
  <si>
    <t xml:space="preserve">Ivan Eklind </t>
  </si>
  <si>
    <t xml:space="preserve">Estádio Vila Capanema </t>
  </si>
  <si>
    <t xml:space="preserve">Robert Mitchell </t>
  </si>
  <si>
    <t xml:space="preserve">Generoso Dattilo </t>
  </si>
  <si>
    <t xml:space="preserve">Alberto Malcher </t>
  </si>
  <si>
    <t xml:space="preserve">Porto Alegre, Braziliya </t>
  </si>
  <si>
    <t xml:space="preserve">Reginald Leate </t>
  </si>
  <si>
    <t xml:space="preserve">Ramon Azon Roma </t>
  </si>
  <si>
    <t xml:space="preserve">Jean Lutz </t>
  </si>
  <si>
    <t xml:space="preserve">Karel van der Meer </t>
  </si>
  <si>
    <t xml:space="preserve">Olympique, Paris/Colombes </t>
  </si>
  <si>
    <t xml:space="preserve">John Langenus </t>
  </si>
  <si>
    <t xml:space="preserve">H. Wutrich </t>
  </si>
  <si>
    <t xml:space="preserve">G. Capdeville </t>
  </si>
  <si>
    <t xml:space="preserve">Stade du Fort Carré </t>
  </si>
  <si>
    <t xml:space="preserve">Stade Victor Boucquey </t>
  </si>
  <si>
    <t xml:space="preserve">P.V. Hertzka </t>
  </si>
  <si>
    <t xml:space="preserve">Stade de la Cavée verte </t>
  </si>
  <si>
    <t xml:space="preserve">Stade de la Meinau </t>
  </si>
  <si>
    <t xml:space="preserve">I. Eklind </t>
  </si>
  <si>
    <t xml:space="preserve">6 - 5 </t>
  </si>
  <si>
    <t xml:space="preserve">Velodrome Municipale, Reims </t>
  </si>
  <si>
    <t xml:space="preserve">Stadio Nazionale del PNF </t>
  </si>
  <si>
    <t xml:space="preserve">Stadio Giorgio Ascarelli </t>
  </si>
  <si>
    <t xml:space="preserve">Albino Carraro </t>
  </si>
  <si>
    <t xml:space="preserve">Rinaldo Barlassina </t>
  </si>
  <si>
    <t xml:space="preserve">Rene Mercet </t>
  </si>
  <si>
    <t xml:space="preserve">Stadio Olimpico di Torino </t>
  </si>
  <si>
    <t xml:space="preserve">Alois Beranek </t>
  </si>
  <si>
    <t xml:space="preserve">Louis Baert </t>
  </si>
  <si>
    <t xml:space="preserve">Fransiyasco Mattea </t>
  </si>
  <si>
    <t xml:space="preserve">Johannes van Moorsel </t>
  </si>
  <si>
    <t xml:space="preserve">Eugen Braun </t>
  </si>
  <si>
    <t xml:space="preserve">Stadio Giuseppe Grezar </t>
  </si>
  <si>
    <t xml:space="preserve">Alfred Birlem </t>
  </si>
  <si>
    <t xml:space="preserve">Estadío Centenario </t>
  </si>
  <si>
    <t xml:space="preserve">Almeida Rego </t>
  </si>
  <si>
    <t xml:space="preserve">Ricardo Vallarino </t>
  </si>
  <si>
    <t xml:space="preserve">Thomas Balvay </t>
  </si>
  <si>
    <t xml:space="preserve">Ulises Saucedo </t>
  </si>
  <si>
    <t xml:space="preserve">Aníbal Tejada </t>
  </si>
  <si>
    <t xml:space="preserve">Parque Central </t>
  </si>
  <si>
    <t xml:space="preserve">Jose Macia </t>
  </si>
  <si>
    <t xml:space="preserve">Francisco Mateucci </t>
  </si>
  <si>
    <t xml:space="preserve">Henri Christophe </t>
  </si>
  <si>
    <t xml:space="preserve">Estadio Pocitos </t>
  </si>
  <si>
    <t xml:space="preserve">Alberto Warnken </t>
  </si>
  <si>
    <t xml:space="preserve">Jose Macias </t>
  </si>
  <si>
    <t xml:space="preserve">Domingo Lombardi </t>
  </si>
  <si>
    <r>
      <t xml:space="preserve">FIFA Jahon chempionatlari statistikasi
</t>
    </r>
    <r>
      <rPr>
        <b/>
        <sz val="16"/>
        <color theme="1"/>
        <rFont val="Calibri"/>
        <family val="2"/>
        <scheme val="minor"/>
      </rPr>
      <t>Ma'lumotlar tarixi 1930 - 2014</t>
    </r>
  </si>
  <si>
    <t>vs</t>
  </si>
  <si>
    <t>G'alaba</t>
  </si>
  <si>
    <t>&gt; 2</t>
  </si>
  <si>
    <t>Durang</t>
  </si>
  <si>
    <t>2</t>
  </si>
  <si>
    <t>Mag'lub</t>
  </si>
  <si>
    <t>1</t>
  </si>
  <si>
    <t>0</t>
  </si>
  <si>
    <t>-1</t>
  </si>
  <si>
    <t>-2</t>
  </si>
  <si>
    <t>&lt; -2</t>
  </si>
  <si>
    <t>@FUTBOLTVHD</t>
  </si>
  <si>
    <t>Telegramda futbolga oid 1-raqamli kanal! 300 mingga yaqin futbol muxlislarining tanlovi!</t>
  </si>
  <si>
    <t>Huquqshunos Xushnudbek Xudayberdiyev kanali</t>
  </si>
  <si>
    <r>
      <rPr>
        <sz val="14"/>
        <rFont val="Calibri"/>
        <family val="2"/>
        <scheme val="minor"/>
      </rPr>
      <t xml:space="preserve">Manba: </t>
    </r>
    <r>
      <rPr>
        <sz val="14"/>
        <color theme="1"/>
        <rFont val="Calibri"/>
        <family val="2"/>
        <scheme val="minor"/>
      </rPr>
      <t>www.excely.com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</si>
</sst>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;;;"/>
    <numFmt numFmtId="166" formatCode="[$-409]d\-mmm;@"/>
  </numFmts>
  <fonts count="35" x14ac:knownFonts="1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10"/>
      <color indexed="12"/>
      <name val="Calibri"/>
      <family val="2"/>
      <charset val="204"/>
    </font>
    <font>
      <sz val="16"/>
      <name val="Calibri"/>
      <family val="2"/>
      <charset val="204"/>
    </font>
    <font>
      <b/>
      <sz val="16"/>
      <name val="Calibri"/>
      <family val="2"/>
      <charset val="204"/>
    </font>
    <font>
      <b/>
      <sz val="16"/>
      <color indexed="12"/>
      <name val="Calibri"/>
      <family val="2"/>
      <charset val="204"/>
    </font>
    <font>
      <sz val="11"/>
      <color theme="0"/>
      <name val="Calibri"/>
      <family val="2"/>
      <scheme val="minor"/>
    </font>
    <font>
      <sz val="10"/>
      <color theme="0"/>
      <name val="Calibri"/>
      <family val="2"/>
    </font>
    <font>
      <sz val="16"/>
      <color theme="0"/>
      <name val="Calibri"/>
      <family val="2"/>
      <charset val="204"/>
      <scheme val="minor"/>
    </font>
    <font>
      <b/>
      <sz val="10"/>
      <color theme="0"/>
      <name val="Calibri"/>
      <family val="2"/>
      <charset val="204"/>
    </font>
    <font>
      <sz val="16"/>
      <color theme="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2"/>
      <name val="Calibri"/>
      <family val="2"/>
      <charset val="204"/>
    </font>
    <font>
      <sz val="8"/>
      <name val="Calibri"/>
      <family val="2"/>
      <charset val="204"/>
    </font>
    <font>
      <b/>
      <sz val="36"/>
      <name val="Calibri"/>
      <family val="2"/>
      <charset val="204"/>
    </font>
    <font>
      <u/>
      <sz val="9"/>
      <color indexed="12"/>
      <name val="Calibri"/>
      <family val="2"/>
      <charset val="204"/>
    </font>
    <font>
      <u/>
      <sz val="9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6"/>
      <name val="Calibri"/>
      <family val="2"/>
      <scheme val="minor"/>
    </font>
    <font>
      <sz val="8"/>
      <color theme="0"/>
      <name val="Calibri"/>
      <family val="2"/>
      <scheme val="minor"/>
    </font>
    <font>
      <sz val="22"/>
      <name val="Calibri"/>
      <family val="2"/>
      <scheme val="minor"/>
    </font>
    <font>
      <sz val="26"/>
      <color theme="10"/>
      <name val="Play"/>
      <family val="2"/>
      <charset val="204"/>
    </font>
    <font>
      <sz val="11"/>
      <name val="Play"/>
      <family val="2"/>
      <charset val="204"/>
    </font>
    <font>
      <sz val="48"/>
      <color theme="10"/>
      <name val="Calibri"/>
      <family val="2"/>
      <scheme val="minor"/>
    </font>
    <font>
      <sz val="36"/>
      <color theme="1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111">
    <border>
      <left/>
      <right/>
      <top/>
      <bottom/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48"/>
      </left>
      <right/>
      <top style="thin">
        <color theme="3" tint="0.39991454817346722"/>
      </top>
      <bottom style="hair">
        <color indexed="48"/>
      </bottom>
      <diagonal/>
    </border>
    <border>
      <left/>
      <right/>
      <top style="thin">
        <color theme="3" tint="0.39991454817346722"/>
      </top>
      <bottom style="hair">
        <color indexed="48"/>
      </bottom>
      <diagonal/>
    </border>
    <border>
      <left/>
      <right style="hair">
        <color indexed="48"/>
      </right>
      <top style="thin">
        <color theme="3" tint="0.39991454817346722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thin">
        <color theme="3" tint="0.39991454817346722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thin">
        <color theme="3" tint="0.39991454817346722"/>
      </top>
      <bottom style="hair">
        <color indexed="48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/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hair">
        <color indexed="48"/>
      </top>
      <bottom style="hair">
        <color indexed="48"/>
      </bottom>
      <diagonal/>
    </border>
    <border>
      <left/>
      <right/>
      <top/>
      <bottom style="thin">
        <color indexed="48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/>
      <diagonal/>
    </border>
    <border>
      <left style="thin">
        <color indexed="48"/>
      </left>
      <right/>
      <top style="thin">
        <color indexed="48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thin">
        <color indexed="48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thin">
        <color indexed="48"/>
      </top>
      <bottom style="hair">
        <color indexed="48"/>
      </bottom>
      <diagonal/>
    </border>
    <border>
      <left style="thin">
        <color indexed="48"/>
      </left>
      <right style="thin">
        <color indexed="48"/>
      </right>
      <top/>
      <bottom style="thin">
        <color indexed="48"/>
      </bottom>
      <diagonal/>
    </border>
    <border>
      <left style="thin">
        <color indexed="48"/>
      </left>
      <right/>
      <top style="hair">
        <color indexed="48"/>
      </top>
      <bottom style="thin">
        <color indexed="48"/>
      </bottom>
      <diagonal/>
    </border>
    <border>
      <left style="thin">
        <color indexed="48"/>
      </left>
      <right style="hair">
        <color indexed="48"/>
      </right>
      <top style="hair">
        <color indexed="48"/>
      </top>
      <bottom style="thin">
        <color indexed="48"/>
      </bottom>
      <diagonal/>
    </border>
    <border>
      <left style="hair">
        <color indexed="48"/>
      </left>
      <right style="thin">
        <color indexed="48"/>
      </right>
      <top style="hair">
        <color indexed="48"/>
      </top>
      <bottom style="thin">
        <color indexed="48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 style="thin">
        <color theme="3" tint="0.39991454817346722"/>
      </top>
      <bottom/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/>
      <diagonal/>
    </border>
    <border>
      <left/>
      <right/>
      <top style="medium">
        <color indexed="12"/>
      </top>
      <bottom/>
      <diagonal/>
    </border>
    <border>
      <left/>
      <right/>
      <top style="hair">
        <color indexed="48"/>
      </top>
      <bottom style="thin">
        <color indexed="48"/>
      </bottom>
      <diagonal/>
    </border>
    <border>
      <left/>
      <right style="hair">
        <color indexed="48"/>
      </right>
      <top style="hair">
        <color indexed="48"/>
      </top>
      <bottom style="thin">
        <color indexed="48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/>
      <bottom style="hair">
        <color indexed="48"/>
      </bottom>
      <diagonal/>
    </border>
    <border>
      <left/>
      <right style="thin">
        <color theme="3" tint="0.39988402966399123"/>
      </right>
      <top style="hair">
        <color indexed="48"/>
      </top>
      <bottom style="hair">
        <color indexed="48"/>
      </bottom>
      <diagonal/>
    </border>
    <border>
      <left/>
      <right style="thin">
        <color theme="3" tint="0.39988402966399123"/>
      </right>
      <top style="hair">
        <color indexed="48"/>
      </top>
      <bottom style="thin">
        <color indexed="48"/>
      </bottom>
      <diagonal/>
    </border>
    <border>
      <left style="thin">
        <color rgb="FF3366FF"/>
      </left>
      <right/>
      <top style="thin">
        <color rgb="FF3366FF"/>
      </top>
      <bottom style="thin">
        <color rgb="FF3366FF"/>
      </bottom>
      <diagonal/>
    </border>
    <border>
      <left/>
      <right/>
      <top style="thin">
        <color rgb="FF3366FF"/>
      </top>
      <bottom style="thin">
        <color rgb="FF3366FF"/>
      </bottom>
      <diagonal/>
    </border>
    <border>
      <left/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rgb="FF3366FF"/>
      </left>
      <right style="hair">
        <color indexed="12"/>
      </right>
      <top style="thin">
        <color rgb="FF3366FF"/>
      </top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thin">
        <color rgb="FF3366FF"/>
      </top>
      <bottom style="hair">
        <color indexed="12"/>
      </bottom>
      <diagonal/>
    </border>
    <border>
      <left style="hair">
        <color indexed="12"/>
      </left>
      <right style="thin">
        <color rgb="FF3366FF"/>
      </right>
      <top style="thin">
        <color rgb="FF3366FF"/>
      </top>
      <bottom style="hair">
        <color indexed="12"/>
      </bottom>
      <diagonal/>
    </border>
    <border>
      <left style="thin">
        <color rgb="FF3366FF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hair">
        <color indexed="12"/>
      </left>
      <right style="thin">
        <color rgb="FF3366FF"/>
      </right>
      <top style="hair">
        <color indexed="12"/>
      </top>
      <bottom style="hair">
        <color indexed="12"/>
      </bottom>
      <diagonal/>
    </border>
    <border>
      <left style="thin">
        <color rgb="FF3366FF"/>
      </left>
      <right style="hair">
        <color indexed="12"/>
      </right>
      <top style="hair">
        <color indexed="12"/>
      </top>
      <bottom style="thin">
        <color rgb="FF3366FF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thin">
        <color rgb="FF3366FF"/>
      </bottom>
      <diagonal/>
    </border>
    <border>
      <left style="hair">
        <color indexed="12"/>
      </left>
      <right style="thin">
        <color rgb="FF3366FF"/>
      </right>
      <top style="hair">
        <color indexed="12"/>
      </top>
      <bottom style="thin">
        <color rgb="FF3366FF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medium">
        <color theme="4" tint="-0.24994659260841701"/>
      </right>
      <top/>
      <bottom style="thick">
        <color theme="0"/>
      </bottom>
      <diagonal/>
    </border>
    <border>
      <left style="thin">
        <color theme="4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4"/>
      </right>
      <top style="thin">
        <color theme="0"/>
      </top>
      <bottom/>
      <diagonal/>
    </border>
    <border>
      <left/>
      <right/>
      <top/>
      <bottom style="thin">
        <color rgb="FF3366FF"/>
      </bottom>
      <diagonal/>
    </border>
    <border>
      <left style="thin">
        <color rgb="FF3366FF"/>
      </left>
      <right/>
      <top/>
      <bottom style="thin">
        <color rgb="FF3366FF"/>
      </bottom>
      <diagonal/>
    </border>
    <border>
      <left/>
      <right style="thin">
        <color rgb="FF3366FF"/>
      </right>
      <top/>
      <bottom style="thin">
        <color rgb="FF3366FF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4" tint="-0.24994659260841701"/>
      </left>
      <right/>
      <top/>
      <bottom style="medium">
        <color theme="0"/>
      </bottom>
      <diagonal/>
    </border>
    <border>
      <left/>
      <right style="medium">
        <color theme="4" tint="-0.24994659260841701"/>
      </right>
      <top/>
      <bottom style="medium">
        <color theme="0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12" fillId="7" borderId="57" applyNumberFormat="0" applyFont="0" applyAlignment="0" applyProtection="0"/>
    <xf numFmtId="0" fontId="20" fillId="0" borderId="0"/>
    <xf numFmtId="0" fontId="20" fillId="7" borderId="57" applyNumberFormat="0" applyFont="0" applyAlignment="0" applyProtection="0"/>
    <xf numFmtId="0" fontId="25" fillId="0" borderId="0" applyNumberFormat="0" applyFill="0" applyBorder="0" applyAlignment="0" applyProtection="0"/>
  </cellStyleXfs>
  <cellXfs count="216">
    <xf numFmtId="0" fontId="0" fillId="0" borderId="0" xfId="0"/>
    <xf numFmtId="0" fontId="1" fillId="0" borderId="0" xfId="0" applyFont="1"/>
    <xf numFmtId="0" fontId="1" fillId="0" borderId="0" xfId="0" applyNumberFormat="1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vertical="center" shrinkToFit="1"/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0" borderId="0" xfId="0" applyProtection="1">
      <protection hidden="1"/>
    </xf>
    <xf numFmtId="0" fontId="0" fillId="4" borderId="8" xfId="0" applyFill="1" applyBorder="1" applyAlignment="1" applyProtection="1">
      <alignment horizontal="center" vertical="center" shrinkToFit="1"/>
      <protection hidden="1"/>
    </xf>
    <xf numFmtId="0" fontId="1" fillId="4" borderId="9" xfId="0" applyFont="1" applyFill="1" applyBorder="1" applyAlignment="1" applyProtection="1">
      <alignment horizontal="center" vertical="center" shrinkToFit="1"/>
      <protection hidden="1"/>
    </xf>
    <xf numFmtId="0" fontId="0" fillId="4" borderId="9" xfId="0" applyFill="1" applyBorder="1" applyAlignment="1" applyProtection="1">
      <alignment horizontal="center" vertical="center" shrinkToFit="1"/>
      <protection hidden="1"/>
    </xf>
    <xf numFmtId="164" fontId="0" fillId="4" borderId="10" xfId="0" applyNumberFormat="1" applyFill="1" applyBorder="1" applyAlignment="1" applyProtection="1">
      <alignment horizontal="center" vertical="center" shrinkToFit="1"/>
      <protection hidden="1"/>
    </xf>
    <xf numFmtId="0" fontId="1" fillId="5" borderId="12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center" vertical="center" shrinkToFit="1"/>
      <protection hidden="1"/>
    </xf>
    <xf numFmtId="0" fontId="1" fillId="4" borderId="17" xfId="0" applyFont="1" applyFill="1" applyBorder="1" applyAlignment="1" applyProtection="1">
      <alignment horizontal="center" vertical="center" shrinkToFit="1"/>
      <protection hidden="1"/>
    </xf>
    <xf numFmtId="0" fontId="0" fillId="4" borderId="17" xfId="0" applyFill="1" applyBorder="1" applyAlignment="1" applyProtection="1">
      <alignment horizontal="center" vertical="center" shrinkToFit="1"/>
      <protection hidden="1"/>
    </xf>
    <xf numFmtId="164" fontId="0" fillId="4" borderId="18" xfId="0" applyNumberFormat="1" applyFill="1" applyBorder="1" applyAlignment="1" applyProtection="1">
      <alignment horizontal="center" vertical="center" shrinkToFit="1"/>
      <protection hidden="1"/>
    </xf>
    <xf numFmtId="0" fontId="0" fillId="4" borderId="19" xfId="0" applyFill="1" applyBorder="1" applyAlignment="1" applyProtection="1">
      <alignment horizontal="right" vertical="center" indent="3" shrinkToFit="1"/>
      <protection hidden="1"/>
    </xf>
    <xf numFmtId="0" fontId="1" fillId="5" borderId="20" xfId="0" applyFont="1" applyFill="1" applyBorder="1" applyAlignment="1" applyProtection="1">
      <alignment horizontal="center" vertical="center"/>
      <protection locked="0"/>
    </xf>
    <xf numFmtId="0" fontId="1" fillId="5" borderId="19" xfId="0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vertical="center"/>
      <protection hidden="1"/>
    </xf>
    <xf numFmtId="0" fontId="0" fillId="0" borderId="22" xfId="0" applyBorder="1" applyAlignment="1" applyProtection="1">
      <alignment horizontal="center" vertical="center" shrinkToFit="1"/>
      <protection hidden="1"/>
    </xf>
    <xf numFmtId="0" fontId="0" fillId="4" borderId="24" xfId="0" applyFill="1" applyBorder="1" applyAlignment="1" applyProtection="1">
      <alignment horizontal="left" vertical="center" shrinkToFit="1"/>
      <protection hidden="1"/>
    </xf>
    <xf numFmtId="0" fontId="1" fillId="5" borderId="25" xfId="0" applyFont="1" applyFill="1" applyBorder="1" applyAlignment="1" applyProtection="1">
      <alignment horizontal="center" vertical="center"/>
      <protection locked="0"/>
    </xf>
    <xf numFmtId="0" fontId="1" fillId="5" borderId="26" xfId="0" applyFont="1" applyFill="1" applyBorder="1" applyAlignment="1" applyProtection="1">
      <alignment horizontal="center" vertical="center"/>
      <protection locked="0"/>
    </xf>
    <xf numFmtId="0" fontId="0" fillId="4" borderId="28" xfId="0" applyFill="1" applyBorder="1" applyAlignment="1" applyProtection="1">
      <alignment horizontal="left" vertical="center" shrinkToFit="1"/>
      <protection hidden="1"/>
    </xf>
    <xf numFmtId="0" fontId="1" fillId="5" borderId="29" xfId="0" applyFont="1" applyFill="1" applyBorder="1" applyAlignment="1" applyProtection="1">
      <alignment horizontal="center" vertical="center"/>
      <protection locked="0"/>
    </xf>
    <xf numFmtId="0" fontId="1" fillId="5" borderId="30" xfId="0" applyFont="1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vertical="center"/>
      <protection hidden="1"/>
    </xf>
    <xf numFmtId="0" fontId="1" fillId="4" borderId="0" xfId="0" applyFont="1" applyFill="1" applyBorder="1" applyAlignment="1" applyProtection="1">
      <alignment horizontal="right" vertical="center"/>
      <protection hidden="1"/>
    </xf>
    <xf numFmtId="0" fontId="0" fillId="4" borderId="32" xfId="0" applyFill="1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 shrinkToFit="1"/>
      <protection hidden="1"/>
    </xf>
    <xf numFmtId="0" fontId="0" fillId="0" borderId="0" xfId="0" applyBorder="1" applyAlignment="1" applyProtection="1">
      <alignment horizontal="center" vertical="center" shrinkToFit="1"/>
      <protection hidden="1"/>
    </xf>
    <xf numFmtId="0" fontId="0" fillId="4" borderId="33" xfId="0" applyFill="1" applyBorder="1" applyAlignment="1" applyProtection="1">
      <alignment vertical="center"/>
      <protection hidden="1"/>
    </xf>
    <xf numFmtId="0" fontId="0" fillId="4" borderId="34" xfId="0" applyFill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alignment vertical="center"/>
      <protection hidden="1"/>
    </xf>
    <xf numFmtId="0" fontId="0" fillId="4" borderId="35" xfId="0" applyFill="1" applyBorder="1" applyAlignment="1" applyProtection="1">
      <alignment vertical="center"/>
      <protection hidden="1"/>
    </xf>
    <xf numFmtId="0" fontId="0" fillId="4" borderId="28" xfId="0" applyFill="1" applyBorder="1" applyAlignment="1" applyProtection="1">
      <alignment horizontal="center" vertical="center" shrinkToFit="1"/>
      <protection hidden="1"/>
    </xf>
    <xf numFmtId="0" fontId="1" fillId="4" borderId="37" xfId="0" applyFont="1" applyFill="1" applyBorder="1" applyAlignment="1" applyProtection="1">
      <alignment horizontal="center" vertical="center" shrinkToFit="1"/>
      <protection hidden="1"/>
    </xf>
    <xf numFmtId="0" fontId="0" fillId="4" borderId="37" xfId="0" applyFill="1" applyBorder="1" applyAlignment="1" applyProtection="1">
      <alignment horizontal="center" vertical="center" shrinkToFit="1"/>
      <protection hidden="1"/>
    </xf>
    <xf numFmtId="164" fontId="0" fillId="4" borderId="38" xfId="0" applyNumberFormat="1" applyFill="1" applyBorder="1" applyAlignment="1" applyProtection="1">
      <alignment horizontal="center" vertical="center" shrinkToFit="1"/>
      <protection hidden="1"/>
    </xf>
    <xf numFmtId="0" fontId="0" fillId="4" borderId="30" xfId="0" applyFill="1" applyBorder="1" applyAlignment="1" applyProtection="1">
      <alignment horizontal="right" vertical="center" indent="3" shrinkToFit="1"/>
      <protection hidden="1"/>
    </xf>
    <xf numFmtId="0" fontId="0" fillId="0" borderId="0" xfId="0" applyFill="1" applyBorder="1" applyAlignment="1" applyProtection="1">
      <alignment horizontal="center" vertical="center" shrinkToFit="1"/>
      <protection hidden="1"/>
    </xf>
    <xf numFmtId="0" fontId="1" fillId="0" borderId="0" xfId="0" applyFont="1" applyFill="1" applyBorder="1" applyAlignment="1" applyProtection="1">
      <alignment horizontal="center" vertical="center" shrinkToFit="1"/>
      <protection hidden="1"/>
    </xf>
    <xf numFmtId="164" fontId="0" fillId="0" borderId="0" xfId="0" applyNumberFormat="1" applyFill="1" applyBorder="1" applyAlignment="1" applyProtection="1">
      <alignment horizontal="center" vertical="center" shrinkToFit="1"/>
      <protection hidden="1"/>
    </xf>
    <xf numFmtId="0" fontId="0" fillId="0" borderId="0" xfId="0" applyFill="1" applyBorder="1" applyAlignment="1" applyProtection="1">
      <alignment horizontal="right" vertical="center" indent="3" shrinkToFit="1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 vertical="center" indent="3" shrinkToFit="1"/>
      <protection hidden="1"/>
    </xf>
    <xf numFmtId="0" fontId="0" fillId="0" borderId="0" xfId="0" applyFill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 shrinkToFit="1"/>
      <protection hidden="1"/>
    </xf>
    <xf numFmtId="0" fontId="0" fillId="4" borderId="11" xfId="0" applyFont="1" applyFill="1" applyBorder="1" applyAlignment="1" applyProtection="1">
      <alignment horizontal="right" vertical="center" indent="3" shrinkToFit="1"/>
      <protection hidden="1"/>
    </xf>
    <xf numFmtId="165" fontId="8" fillId="0" borderId="0" xfId="0" applyNumberFormat="1" applyFont="1" applyFill="1" applyBorder="1" applyAlignment="1" applyProtection="1">
      <alignment horizontal="center" vertical="center"/>
      <protection hidden="1"/>
    </xf>
    <xf numFmtId="165" fontId="8" fillId="0" borderId="0" xfId="0" applyNumberFormat="1" applyFont="1" applyFill="1" applyBorder="1" applyAlignment="1" applyProtection="1">
      <alignment vertical="center"/>
      <protection hidden="1"/>
    </xf>
    <xf numFmtId="165" fontId="8" fillId="0" borderId="0" xfId="0" applyNumberFormat="1" applyFont="1" applyFill="1" applyAlignment="1" applyProtection="1">
      <alignment vertical="center"/>
      <protection hidden="1"/>
    </xf>
    <xf numFmtId="165" fontId="8" fillId="0" borderId="0" xfId="0" applyNumberFormat="1" applyFont="1" applyFill="1" applyAlignment="1" applyProtection="1">
      <alignment horizontal="center" vertical="center"/>
      <protection hidden="1"/>
    </xf>
    <xf numFmtId="165" fontId="8" fillId="0" borderId="0" xfId="0" applyNumberFormat="1" applyFont="1" applyAlignment="1" applyProtection="1">
      <alignment horizontal="center" vertical="center"/>
      <protection hidden="1"/>
    </xf>
    <xf numFmtId="165" fontId="8" fillId="0" borderId="0" xfId="0" applyNumberFormat="1" applyFont="1" applyAlignment="1" applyProtection="1">
      <alignment vertical="center"/>
      <protection hidden="1"/>
    </xf>
    <xf numFmtId="165" fontId="7" fillId="0" borderId="0" xfId="0" applyNumberFormat="1" applyFont="1" applyAlignment="1" applyProtection="1">
      <alignment vertical="center"/>
      <protection hidden="1"/>
    </xf>
    <xf numFmtId="165" fontId="8" fillId="0" borderId="0" xfId="0" applyNumberFormat="1" applyFont="1" applyFill="1" applyBorder="1" applyAlignment="1" applyProtection="1">
      <alignment horizontal="left" vertical="center"/>
      <protection hidden="1"/>
    </xf>
    <xf numFmtId="0" fontId="0" fillId="4" borderId="41" xfId="0" applyFill="1" applyBorder="1" applyAlignment="1" applyProtection="1">
      <alignment horizontal="left" vertical="center" indent="3" shrinkToFit="1"/>
      <protection hidden="1"/>
    </xf>
    <xf numFmtId="0" fontId="0" fillId="4" borderId="42" xfId="0" applyFill="1" applyBorder="1" applyAlignment="1" applyProtection="1">
      <alignment horizontal="left" vertical="center" indent="3" shrinkToFit="1"/>
      <protection hidden="1"/>
    </xf>
    <xf numFmtId="0" fontId="0" fillId="4" borderId="43" xfId="0" applyFill="1" applyBorder="1" applyAlignment="1" applyProtection="1">
      <alignment horizontal="left" vertical="center" indent="3" shrinkToFit="1"/>
      <protection hidden="1"/>
    </xf>
    <xf numFmtId="0" fontId="0" fillId="0" borderId="47" xfId="0" applyBorder="1" applyAlignment="1" applyProtection="1">
      <alignment vertical="center" shrinkToFit="1"/>
      <protection hidden="1"/>
    </xf>
    <xf numFmtId="0" fontId="0" fillId="0" borderId="48" xfId="0" applyBorder="1" applyAlignment="1" applyProtection="1">
      <alignment horizontal="center" vertical="center" shrinkToFit="1"/>
      <protection hidden="1"/>
    </xf>
    <xf numFmtId="0" fontId="0" fillId="0" borderId="49" xfId="0" applyBorder="1" applyAlignment="1" applyProtection="1">
      <alignment horizontal="center" vertical="center" shrinkToFit="1"/>
      <protection hidden="1"/>
    </xf>
    <xf numFmtId="0" fontId="0" fillId="0" borderId="50" xfId="0" applyBorder="1" applyAlignment="1" applyProtection="1">
      <alignment vertical="center" shrinkToFit="1"/>
      <protection hidden="1"/>
    </xf>
    <xf numFmtId="0" fontId="0" fillId="0" borderId="51" xfId="0" applyBorder="1" applyAlignment="1" applyProtection="1">
      <alignment horizontal="center" vertical="center" shrinkToFit="1"/>
      <protection hidden="1"/>
    </xf>
    <xf numFmtId="0" fontId="0" fillId="0" borderId="52" xfId="0" applyBorder="1" applyAlignment="1" applyProtection="1">
      <alignment vertical="center" shrinkToFit="1"/>
      <protection hidden="1"/>
    </xf>
    <xf numFmtId="0" fontId="0" fillId="0" borderId="53" xfId="0" applyBorder="1" applyAlignment="1" applyProtection="1">
      <alignment horizontal="center" vertical="center" shrinkToFit="1"/>
      <protection hidden="1"/>
    </xf>
    <xf numFmtId="0" fontId="0" fillId="0" borderId="54" xfId="0" applyBorder="1" applyAlignment="1" applyProtection="1">
      <alignment horizontal="center" vertical="center" shrinkToFit="1"/>
      <protection hidden="1"/>
    </xf>
    <xf numFmtId="0" fontId="10" fillId="6" borderId="44" xfId="0" applyFont="1" applyFill="1" applyBorder="1" applyAlignment="1" applyProtection="1">
      <alignment horizontal="center" vertical="center" shrinkToFit="1"/>
      <protection hidden="1"/>
    </xf>
    <xf numFmtId="0" fontId="10" fillId="6" borderId="45" xfId="0" applyFont="1" applyFill="1" applyBorder="1" applyAlignment="1" applyProtection="1">
      <alignment horizontal="center" vertical="center" shrinkToFit="1"/>
      <protection hidden="1"/>
    </xf>
    <xf numFmtId="0" fontId="10" fillId="6" borderId="46" xfId="0" applyFont="1" applyFill="1" applyBorder="1" applyAlignment="1" applyProtection="1">
      <alignment horizontal="center" vertical="center" shrinkToFit="1"/>
      <protection hidden="1"/>
    </xf>
    <xf numFmtId="0" fontId="0" fillId="0" borderId="0" xfId="0" applyFill="1"/>
    <xf numFmtId="0" fontId="1" fillId="0" borderId="0" xfId="0" applyFont="1" applyFill="1"/>
    <xf numFmtId="0" fontId="13" fillId="8" borderId="58" xfId="0" applyFont="1" applyFill="1" applyBorder="1" applyAlignment="1" applyProtection="1">
      <alignment horizontal="left" indent="1"/>
      <protection hidden="1"/>
    </xf>
    <xf numFmtId="0" fontId="1" fillId="8" borderId="59" xfId="0" applyFont="1" applyFill="1" applyBorder="1" applyAlignment="1" applyProtection="1">
      <alignment horizontal="left"/>
      <protection hidden="1"/>
    </xf>
    <xf numFmtId="0" fontId="1" fillId="8" borderId="60" xfId="0" applyFont="1" applyFill="1" applyBorder="1" applyProtection="1">
      <protection hidden="1"/>
    </xf>
    <xf numFmtId="0" fontId="1" fillId="8" borderId="61" xfId="0" applyFont="1" applyFill="1" applyBorder="1" applyProtection="1">
      <protection hidden="1"/>
    </xf>
    <xf numFmtId="0" fontId="1" fillId="8" borderId="0" xfId="0" applyFont="1" applyFill="1" applyBorder="1" applyAlignment="1" applyProtection="1">
      <alignment horizontal="left"/>
      <protection hidden="1"/>
    </xf>
    <xf numFmtId="0" fontId="1" fillId="8" borderId="62" xfId="0" applyFont="1" applyFill="1" applyBorder="1" applyProtection="1">
      <protection hidden="1"/>
    </xf>
    <xf numFmtId="0" fontId="1" fillId="8" borderId="0" xfId="0" applyFont="1" applyFill="1" applyBorder="1" applyProtection="1">
      <protection hidden="1"/>
    </xf>
    <xf numFmtId="0" fontId="1" fillId="8" borderId="61" xfId="0" applyFont="1" applyFill="1" applyBorder="1" applyAlignment="1" applyProtection="1">
      <alignment horizontal="right"/>
      <protection hidden="1"/>
    </xf>
    <xf numFmtId="0" fontId="1" fillId="9" borderId="63" xfId="0" applyFont="1" applyFill="1" applyBorder="1" applyProtection="1">
      <protection hidden="1"/>
    </xf>
    <xf numFmtId="0" fontId="1" fillId="9" borderId="64" xfId="0" applyFont="1" applyFill="1" applyBorder="1" applyProtection="1">
      <protection hidden="1"/>
    </xf>
    <xf numFmtId="0" fontId="1" fillId="9" borderId="65" xfId="0" applyFont="1" applyFill="1" applyBorder="1" applyProtection="1">
      <protection hidden="1"/>
    </xf>
    <xf numFmtId="0" fontId="1" fillId="8" borderId="66" xfId="0" applyFont="1" applyFill="1" applyBorder="1" applyProtection="1">
      <protection hidden="1"/>
    </xf>
    <xf numFmtId="0" fontId="1" fillId="8" borderId="67" xfId="0" applyFont="1" applyFill="1" applyBorder="1" applyProtection="1">
      <protection hidden="1"/>
    </xf>
    <xf numFmtId="0" fontId="1" fillId="8" borderId="68" xfId="0" applyFont="1" applyFill="1" applyBorder="1" applyAlignment="1" applyProtection="1">
      <alignment horizontal="left"/>
      <protection hidden="1"/>
    </xf>
    <xf numFmtId="0" fontId="1" fillId="8" borderId="69" xfId="0" applyFont="1" applyFill="1" applyBorder="1" applyProtection="1">
      <protection hidden="1"/>
    </xf>
    <xf numFmtId="0" fontId="1" fillId="8" borderId="61" xfId="0" applyFont="1" applyFill="1" applyBorder="1" applyAlignment="1" applyProtection="1">
      <alignment horizontal="right" vertical="center"/>
      <protection hidden="1"/>
    </xf>
    <xf numFmtId="0" fontId="14" fillId="8" borderId="70" xfId="0" applyFont="1" applyFill="1" applyBorder="1" applyAlignment="1" applyProtection="1">
      <alignment horizontal="left" vertical="center"/>
      <protection hidden="1"/>
    </xf>
    <xf numFmtId="0" fontId="14" fillId="8" borderId="66" xfId="0" applyFont="1" applyFill="1" applyBorder="1" applyAlignment="1" applyProtection="1">
      <alignment horizontal="left" vertical="center"/>
      <protection hidden="1"/>
    </xf>
    <xf numFmtId="0" fontId="1" fillId="8" borderId="71" xfId="0" applyFont="1" applyFill="1" applyBorder="1" applyProtection="1">
      <protection hidden="1"/>
    </xf>
    <xf numFmtId="0" fontId="13" fillId="8" borderId="72" xfId="0" applyFont="1" applyFill="1" applyBorder="1" applyAlignment="1" applyProtection="1">
      <alignment horizontal="center"/>
      <protection hidden="1"/>
    </xf>
    <xf numFmtId="0" fontId="1" fillId="8" borderId="61" xfId="0" applyFont="1" applyFill="1" applyBorder="1" applyAlignment="1" applyProtection="1">
      <alignment horizontal="left" indent="1"/>
      <protection hidden="1"/>
    </xf>
    <xf numFmtId="0" fontId="1" fillId="9" borderId="73" xfId="0" applyFont="1" applyFill="1" applyBorder="1" applyAlignment="1" applyProtection="1">
      <alignment horizontal="center"/>
      <protection hidden="1"/>
    </xf>
    <xf numFmtId="0" fontId="1" fillId="9" borderId="64" xfId="0" applyFont="1" applyFill="1" applyBorder="1" applyAlignment="1" applyProtection="1">
      <alignment horizontal="center"/>
      <protection hidden="1"/>
    </xf>
    <xf numFmtId="0" fontId="1" fillId="9" borderId="65" xfId="0" applyFont="1" applyFill="1" applyBorder="1" applyAlignment="1" applyProtection="1">
      <alignment horizontal="center"/>
      <protection hidden="1"/>
    </xf>
    <xf numFmtId="0" fontId="1" fillId="7" borderId="57" xfId="2" applyFont="1" applyAlignment="1" applyProtection="1">
      <alignment horizontal="left" vertical="center" indent="1"/>
      <protection locked="0"/>
    </xf>
    <xf numFmtId="165" fontId="7" fillId="0" borderId="0" xfId="0" applyNumberFormat="1" applyFont="1" applyProtection="1">
      <protection hidden="1"/>
    </xf>
    <xf numFmtId="18" fontId="0" fillId="0" borderId="0" xfId="0" applyNumberFormat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21" fillId="11" borderId="0" xfId="3" applyFont="1" applyFill="1" applyAlignment="1">
      <alignment horizontal="left"/>
    </xf>
    <xf numFmtId="0" fontId="21" fillId="11" borderId="0" xfId="3" applyFont="1" applyFill="1" applyAlignment="1">
      <alignment horizontal="center"/>
    </xf>
    <xf numFmtId="49" fontId="21" fillId="11" borderId="0" xfId="3" applyNumberFormat="1" applyFont="1" applyFill="1" applyAlignment="1">
      <alignment horizontal="center"/>
    </xf>
    <xf numFmtId="0" fontId="21" fillId="11" borderId="0" xfId="3" applyFont="1" applyFill="1" applyAlignment="1">
      <alignment horizontal="center" vertical="center"/>
    </xf>
    <xf numFmtId="0" fontId="20" fillId="0" borderId="0" xfId="3" applyAlignment="1">
      <alignment horizontal="center"/>
    </xf>
    <xf numFmtId="15" fontId="20" fillId="0" borderId="0" xfId="3" applyNumberFormat="1" applyAlignment="1">
      <alignment horizontal="center"/>
    </xf>
    <xf numFmtId="0" fontId="20" fillId="0" borderId="0" xfId="3" applyAlignment="1">
      <alignment horizontal="right"/>
    </xf>
    <xf numFmtId="0" fontId="20" fillId="0" borderId="0" xfId="3"/>
    <xf numFmtId="49" fontId="20" fillId="0" borderId="0" xfId="3" applyNumberFormat="1" applyAlignment="1">
      <alignment horizontal="center"/>
    </xf>
    <xf numFmtId="0" fontId="20" fillId="0" borderId="0" xfId="3" applyAlignment="1">
      <alignment vertical="center"/>
    </xf>
    <xf numFmtId="0" fontId="20" fillId="0" borderId="0" xfId="3" quotePrefix="1" applyAlignment="1">
      <alignment horizontal="center"/>
    </xf>
    <xf numFmtId="0" fontId="20" fillId="0" borderId="0" xfId="3" applyAlignment="1" applyProtection="1">
      <alignment vertical="center"/>
      <protection hidden="1"/>
    </xf>
    <xf numFmtId="0" fontId="19" fillId="7" borderId="57" xfId="4" applyFont="1" applyAlignment="1" applyProtection="1">
      <alignment horizontal="center" vertical="center"/>
      <protection locked="0" hidden="1"/>
    </xf>
    <xf numFmtId="0" fontId="20" fillId="0" borderId="0" xfId="3" applyAlignment="1" applyProtection="1">
      <alignment horizontal="center" vertical="center"/>
      <protection hidden="1"/>
    </xf>
    <xf numFmtId="0" fontId="20" fillId="0" borderId="82" xfId="3" applyBorder="1" applyAlignment="1" applyProtection="1">
      <alignment horizontal="right" vertical="center"/>
      <protection hidden="1"/>
    </xf>
    <xf numFmtId="0" fontId="20" fillId="0" borderId="83" xfId="3" applyBorder="1" applyAlignment="1" applyProtection="1">
      <alignment horizontal="center" vertical="center"/>
      <protection hidden="1"/>
    </xf>
    <xf numFmtId="0" fontId="20" fillId="0" borderId="84" xfId="3" applyBorder="1" applyAlignment="1" applyProtection="1">
      <alignment horizontal="left" vertical="center"/>
      <protection hidden="1"/>
    </xf>
    <xf numFmtId="0" fontId="20" fillId="0" borderId="85" xfId="3" applyNumberFormat="1" applyBorder="1" applyAlignment="1" applyProtection="1">
      <alignment horizontal="center" vertical="center"/>
      <protection hidden="1"/>
    </xf>
    <xf numFmtId="166" fontId="20" fillId="0" borderId="85" xfId="3" applyNumberFormat="1" applyBorder="1" applyAlignment="1" applyProtection="1">
      <alignment horizontal="center" vertical="center"/>
      <protection hidden="1"/>
    </xf>
    <xf numFmtId="0" fontId="20" fillId="0" borderId="84" xfId="3" applyBorder="1" applyAlignment="1" applyProtection="1">
      <alignment horizontal="center" vertical="center"/>
      <protection hidden="1"/>
    </xf>
    <xf numFmtId="0" fontId="27" fillId="0" borderId="0" xfId="3" applyNumberFormat="1" applyFont="1" applyAlignment="1" applyProtection="1">
      <alignment vertical="center"/>
      <protection hidden="1"/>
    </xf>
    <xf numFmtId="0" fontId="27" fillId="0" borderId="0" xfId="3" applyFont="1" applyAlignment="1" applyProtection="1">
      <alignment vertical="center"/>
      <protection hidden="1"/>
    </xf>
    <xf numFmtId="0" fontId="27" fillId="0" borderId="0" xfId="3" applyFont="1" applyAlignment="1" applyProtection="1">
      <alignment horizontal="center" vertical="center"/>
      <protection hidden="1"/>
    </xf>
    <xf numFmtId="0" fontId="27" fillId="0" borderId="0" xfId="3" quotePrefix="1" applyNumberFormat="1" applyFont="1" applyAlignment="1" applyProtection="1">
      <alignment vertical="center"/>
      <protection hidden="1"/>
    </xf>
    <xf numFmtId="165" fontId="20" fillId="0" borderId="0" xfId="3" applyNumberFormat="1" applyAlignment="1" applyProtection="1">
      <alignment vertical="center"/>
      <protection hidden="1"/>
    </xf>
    <xf numFmtId="166" fontId="20" fillId="0" borderId="86" xfId="3" applyNumberFormat="1" applyBorder="1" applyAlignment="1" applyProtection="1">
      <alignment horizontal="center" vertical="center"/>
      <protection hidden="1"/>
    </xf>
    <xf numFmtId="0" fontId="20" fillId="0" borderId="0" xfId="3" applyNumberFormat="1" applyAlignment="1" applyProtection="1">
      <alignment vertical="center"/>
      <protection hidden="1"/>
    </xf>
    <xf numFmtId="0" fontId="10" fillId="6" borderId="98" xfId="0" applyFont="1" applyFill="1" applyBorder="1" applyAlignment="1" applyProtection="1">
      <alignment horizontal="center" vertical="center" shrinkToFit="1"/>
      <protection hidden="1"/>
    </xf>
    <xf numFmtId="0" fontId="10" fillId="6" borderId="97" xfId="0" applyFont="1" applyFill="1" applyBorder="1" applyAlignment="1" applyProtection="1">
      <alignment horizontal="center" vertical="center" shrinkToFit="1"/>
      <protection hidden="1"/>
    </xf>
    <xf numFmtId="0" fontId="10" fillId="6" borderId="99" xfId="0" applyFont="1" applyFill="1" applyBorder="1" applyAlignment="1" applyProtection="1">
      <alignment horizontal="center" vertical="center" shrinkToFit="1"/>
      <protection hidden="1"/>
    </xf>
    <xf numFmtId="0" fontId="18" fillId="0" borderId="0" xfId="0" applyFont="1" applyFill="1" applyProtection="1">
      <protection hidden="1"/>
    </xf>
    <xf numFmtId="164" fontId="0" fillId="4" borderId="21" xfId="0" applyNumberFormat="1" applyFill="1" applyBorder="1" applyAlignment="1" applyProtection="1">
      <alignment horizontal="center" vertical="center"/>
      <protection hidden="1"/>
    </xf>
    <xf numFmtId="0" fontId="11" fillId="6" borderId="55" xfId="0" applyFont="1" applyFill="1" applyBorder="1" applyAlignment="1" applyProtection="1">
      <alignment horizontal="center" vertical="center"/>
      <protection hidden="1"/>
    </xf>
    <xf numFmtId="0" fontId="11" fillId="6" borderId="0" xfId="0" applyFont="1" applyFill="1" applyBorder="1" applyAlignment="1" applyProtection="1">
      <alignment horizontal="center" vertical="center"/>
      <protection hidden="1"/>
    </xf>
    <xf numFmtId="0" fontId="11" fillId="6" borderId="56" xfId="0" applyFont="1" applyFill="1" applyBorder="1" applyAlignment="1" applyProtection="1">
      <alignment horizontal="center" vertical="center"/>
      <protection hidden="1"/>
    </xf>
    <xf numFmtId="0" fontId="11" fillId="6" borderId="13" xfId="0" applyFont="1" applyFill="1" applyBorder="1" applyAlignment="1" applyProtection="1">
      <alignment horizontal="center" vertical="center"/>
      <protection hidden="1"/>
    </xf>
    <xf numFmtId="0" fontId="11" fillId="6" borderId="14" xfId="0" applyFont="1" applyFill="1" applyBorder="1" applyAlignment="1" applyProtection="1">
      <alignment horizontal="center" vertical="center"/>
      <protection hidden="1"/>
    </xf>
    <xf numFmtId="0" fontId="11" fillId="6" borderId="15" xfId="0" applyFont="1" applyFill="1" applyBorder="1" applyAlignment="1" applyProtection="1">
      <alignment horizontal="center" vertical="center"/>
      <protection hidden="1"/>
    </xf>
    <xf numFmtId="0" fontId="0" fillId="4" borderId="23" xfId="0" applyFill="1" applyBorder="1" applyAlignment="1" applyProtection="1">
      <alignment horizontal="center" vertical="center"/>
      <protection hidden="1"/>
    </xf>
    <xf numFmtId="0" fontId="0" fillId="4" borderId="27" xfId="0" applyFill="1" applyBorder="1" applyAlignment="1" applyProtection="1">
      <alignment horizontal="center" vertical="center"/>
      <protection hidden="1"/>
    </xf>
    <xf numFmtId="0" fontId="15" fillId="0" borderId="0" xfId="0" applyFont="1" applyFill="1" applyAlignment="1" applyProtection="1">
      <alignment horizontal="center" vertical="center" shrinkToFit="1"/>
      <protection hidden="1"/>
    </xf>
    <xf numFmtId="0" fontId="16" fillId="0" borderId="0" xfId="1" applyFont="1" applyFill="1" applyAlignment="1" applyProtection="1">
      <alignment horizontal="right"/>
      <protection hidden="1"/>
    </xf>
    <xf numFmtId="0" fontId="9" fillId="6" borderId="1" xfId="0" applyFont="1" applyFill="1" applyBorder="1" applyAlignment="1" applyProtection="1">
      <alignment horizontal="center" vertical="center"/>
      <protection hidden="1"/>
    </xf>
    <xf numFmtId="0" fontId="9" fillId="6" borderId="2" xfId="0" applyFont="1" applyFill="1" applyBorder="1" applyAlignment="1" applyProtection="1">
      <alignment horizontal="center" vertical="center"/>
      <protection hidden="1"/>
    </xf>
    <xf numFmtId="0" fontId="9" fillId="6" borderId="39" xfId="0" applyFont="1" applyFill="1" applyBorder="1" applyAlignment="1" applyProtection="1">
      <alignment horizontal="center" vertical="center"/>
      <protection hidden="1"/>
    </xf>
    <xf numFmtId="0" fontId="9" fillId="6" borderId="3" xfId="0" applyFont="1" applyFill="1" applyBorder="1" applyAlignment="1" applyProtection="1">
      <alignment horizontal="center" vertical="center"/>
      <protection hidden="1"/>
    </xf>
    <xf numFmtId="0" fontId="9" fillId="6" borderId="4" xfId="0" applyFont="1" applyFill="1" applyBorder="1" applyAlignment="1" applyProtection="1">
      <alignment horizontal="center" vertical="center"/>
      <protection hidden="1"/>
    </xf>
    <xf numFmtId="0" fontId="9" fillId="6" borderId="40" xfId="0" applyFont="1" applyFill="1" applyBorder="1" applyAlignment="1" applyProtection="1">
      <alignment horizontal="center" vertical="center"/>
      <protection hidden="1"/>
    </xf>
    <xf numFmtId="0" fontId="11" fillId="6" borderId="94" xfId="0" applyFont="1" applyFill="1" applyBorder="1" applyAlignment="1" applyProtection="1">
      <alignment horizontal="center" vertical="center"/>
      <protection hidden="1"/>
    </xf>
    <xf numFmtId="0" fontId="11" fillId="6" borderId="95" xfId="0" applyFont="1" applyFill="1" applyBorder="1" applyAlignment="1" applyProtection="1">
      <alignment horizontal="center" vertical="center"/>
      <protection hidden="1"/>
    </xf>
    <xf numFmtId="0" fontId="11" fillId="6" borderId="96" xfId="0" applyFont="1" applyFill="1" applyBorder="1" applyAlignment="1" applyProtection="1">
      <alignment horizontal="center" vertical="center"/>
      <protection hidden="1"/>
    </xf>
    <xf numFmtId="0" fontId="17" fillId="0" borderId="0" xfId="1" applyFont="1" applyFill="1" applyAlignment="1" applyProtection="1">
      <alignment horizontal="left"/>
      <protection hidden="1"/>
    </xf>
    <xf numFmtId="0" fontId="30" fillId="2" borderId="100" xfId="1" applyFont="1" applyFill="1" applyBorder="1" applyAlignment="1">
      <alignment horizontal="center" vertical="center"/>
    </xf>
    <xf numFmtId="0" fontId="30" fillId="2" borderId="101" xfId="1" applyFont="1" applyFill="1" applyBorder="1" applyAlignment="1">
      <alignment horizontal="center" vertical="center"/>
    </xf>
    <xf numFmtId="0" fontId="30" fillId="2" borderId="102" xfId="1" applyFont="1" applyFill="1" applyBorder="1" applyAlignment="1">
      <alignment horizontal="center" vertical="center"/>
    </xf>
    <xf numFmtId="49" fontId="29" fillId="2" borderId="103" xfId="1" applyNumberFormat="1" applyFont="1" applyFill="1" applyBorder="1" applyAlignment="1">
      <alignment horizontal="center"/>
    </xf>
    <xf numFmtId="49" fontId="29" fillId="2" borderId="104" xfId="1" applyNumberFormat="1" applyFont="1" applyFill="1" applyBorder="1" applyAlignment="1">
      <alignment horizontal="center"/>
    </xf>
    <xf numFmtId="49" fontId="29" fillId="2" borderId="105" xfId="1" applyNumberFormat="1" applyFont="1" applyFill="1" applyBorder="1" applyAlignment="1">
      <alignment horizontal="center"/>
    </xf>
    <xf numFmtId="49" fontId="29" fillId="2" borderId="106" xfId="1" applyNumberFormat="1" applyFont="1" applyFill="1" applyBorder="1" applyAlignment="1">
      <alignment horizontal="center"/>
    </xf>
    <xf numFmtId="49" fontId="29" fillId="2" borderId="107" xfId="1" applyNumberFormat="1" applyFont="1" applyFill="1" applyBorder="1" applyAlignment="1">
      <alignment horizontal="center"/>
    </xf>
    <xf numFmtId="49" fontId="29" fillId="2" borderId="108" xfId="1" applyNumberFormat="1" applyFont="1" applyFill="1" applyBorder="1" applyAlignment="1">
      <alignment horizontal="center"/>
    </xf>
    <xf numFmtId="49" fontId="31" fillId="12" borderId="87" xfId="1" applyNumberFormat="1" applyFont="1" applyFill="1" applyBorder="1" applyAlignment="1" applyProtection="1">
      <alignment horizontal="center" vertical="center"/>
      <protection hidden="1"/>
    </xf>
    <xf numFmtId="49" fontId="31" fillId="12" borderId="88" xfId="1" applyNumberFormat="1" applyFont="1" applyFill="1" applyBorder="1" applyAlignment="1" applyProtection="1">
      <alignment horizontal="center" vertical="center"/>
      <protection hidden="1"/>
    </xf>
    <xf numFmtId="49" fontId="31" fillId="12" borderId="89" xfId="1" applyNumberFormat="1" applyFont="1" applyFill="1" applyBorder="1" applyAlignment="1" applyProtection="1">
      <alignment horizontal="center" vertical="center"/>
      <protection hidden="1"/>
    </xf>
    <xf numFmtId="49" fontId="31" fillId="12" borderId="90" xfId="1" applyNumberFormat="1" applyFont="1" applyFill="1" applyBorder="1" applyAlignment="1" applyProtection="1">
      <alignment horizontal="center" vertical="center"/>
      <protection hidden="1"/>
    </xf>
    <xf numFmtId="49" fontId="31" fillId="12" borderId="0" xfId="1" applyNumberFormat="1" applyFont="1" applyFill="1" applyBorder="1" applyAlignment="1" applyProtection="1">
      <alignment horizontal="center" vertical="center"/>
      <protection hidden="1"/>
    </xf>
    <xf numFmtId="49" fontId="31" fillId="12" borderId="91" xfId="1" applyNumberFormat="1" applyFont="1" applyFill="1" applyBorder="1" applyAlignment="1" applyProtection="1">
      <alignment horizontal="center" vertical="center"/>
      <protection hidden="1"/>
    </xf>
    <xf numFmtId="49" fontId="31" fillId="12" borderId="109" xfId="1" applyNumberFormat="1" applyFont="1" applyFill="1" applyBorder="1" applyAlignment="1" applyProtection="1">
      <alignment horizontal="center" vertical="center"/>
      <protection hidden="1"/>
    </xf>
    <xf numFmtId="49" fontId="31" fillId="12" borderId="107" xfId="1" applyNumberFormat="1" applyFont="1" applyFill="1" applyBorder="1" applyAlignment="1" applyProtection="1">
      <alignment horizontal="center" vertical="center"/>
      <protection hidden="1"/>
    </xf>
    <xf numFmtId="49" fontId="31" fillId="12" borderId="110" xfId="1" applyNumberFormat="1" applyFont="1" applyFill="1" applyBorder="1" applyAlignment="1" applyProtection="1">
      <alignment horizontal="center" vertical="center"/>
      <protection hidden="1"/>
    </xf>
    <xf numFmtId="49" fontId="33" fillId="12" borderId="90" xfId="1" applyNumberFormat="1" applyFont="1" applyFill="1" applyBorder="1" applyAlignment="1" applyProtection="1">
      <alignment horizontal="center" vertical="center"/>
      <protection hidden="1"/>
    </xf>
    <xf numFmtId="49" fontId="33" fillId="12" borderId="0" xfId="1" applyNumberFormat="1" applyFont="1" applyFill="1" applyBorder="1" applyAlignment="1" applyProtection="1">
      <alignment horizontal="center" vertical="center"/>
      <protection hidden="1"/>
    </xf>
    <xf numFmtId="49" fontId="33" fillId="12" borderId="91" xfId="1" applyNumberFormat="1" applyFont="1" applyFill="1" applyBorder="1" applyAlignment="1" applyProtection="1">
      <alignment horizontal="center" vertical="center"/>
      <protection hidden="1"/>
    </xf>
    <xf numFmtId="49" fontId="33" fillId="12" borderId="92" xfId="1" applyNumberFormat="1" applyFont="1" applyFill="1" applyBorder="1" applyAlignment="1" applyProtection="1">
      <alignment horizontal="center" vertical="center"/>
      <protection hidden="1"/>
    </xf>
    <xf numFmtId="49" fontId="33" fillId="12" borderId="93" xfId="1" applyNumberFormat="1" applyFont="1" applyFill="1" applyBorder="1" applyAlignment="1" applyProtection="1">
      <alignment horizontal="center" vertical="center"/>
      <protection hidden="1"/>
    </xf>
    <xf numFmtId="0" fontId="4" fillId="3" borderId="5" xfId="0" applyFont="1" applyFill="1" applyBorder="1" applyAlignment="1" applyProtection="1">
      <alignment horizontal="center" vertical="center"/>
      <protection hidden="1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13" xfId="0" applyFont="1" applyFill="1" applyBorder="1" applyAlignment="1" applyProtection="1">
      <alignment horizontal="center" vertical="center"/>
      <protection hidden="1"/>
    </xf>
    <xf numFmtId="0" fontId="4" fillId="3" borderId="14" xfId="0" applyFont="1" applyFill="1" applyBorder="1" applyAlignment="1" applyProtection="1">
      <alignment horizontal="center" vertical="center"/>
      <protection hidden="1"/>
    </xf>
    <xf numFmtId="0" fontId="4" fillId="3" borderId="15" xfId="0" applyFont="1" applyFill="1" applyBorder="1" applyAlignment="1" applyProtection="1">
      <alignment horizontal="center" vertical="center"/>
      <protection hidden="1"/>
    </xf>
    <xf numFmtId="0" fontId="28" fillId="2" borderId="5" xfId="1" applyFont="1" applyFill="1" applyBorder="1" applyAlignment="1" applyProtection="1">
      <alignment horizontal="center" vertical="center" wrapText="1"/>
      <protection hidden="1"/>
    </xf>
    <xf numFmtId="0" fontId="28" fillId="2" borderId="6" xfId="1" applyFont="1" applyFill="1" applyBorder="1" applyAlignment="1" applyProtection="1">
      <alignment horizontal="center" vertical="center" wrapText="1"/>
      <protection hidden="1"/>
    </xf>
    <xf numFmtId="0" fontId="28" fillId="2" borderId="7" xfId="1" applyFont="1" applyFill="1" applyBorder="1" applyAlignment="1" applyProtection="1">
      <alignment horizontal="center" vertical="center" wrapText="1"/>
      <protection hidden="1"/>
    </xf>
    <xf numFmtId="0" fontId="28" fillId="2" borderId="55" xfId="1" applyFont="1" applyFill="1" applyBorder="1" applyAlignment="1" applyProtection="1">
      <alignment horizontal="center" vertical="center" wrapText="1"/>
      <protection hidden="1"/>
    </xf>
    <xf numFmtId="0" fontId="28" fillId="2" borderId="0" xfId="1" applyFont="1" applyFill="1" applyBorder="1" applyAlignment="1" applyProtection="1">
      <alignment horizontal="center" vertical="center" wrapText="1"/>
      <protection hidden="1"/>
    </xf>
    <xf numFmtId="0" fontId="28" fillId="2" borderId="56" xfId="1" applyFont="1" applyFill="1" applyBorder="1" applyAlignment="1" applyProtection="1">
      <alignment horizontal="center" vertical="center" wrapText="1"/>
      <protection hidden="1"/>
    </xf>
    <xf numFmtId="0" fontId="28" fillId="2" borderId="13" xfId="1" applyFont="1" applyFill="1" applyBorder="1" applyAlignment="1" applyProtection="1">
      <alignment horizontal="center" vertical="center" wrapText="1"/>
      <protection hidden="1"/>
    </xf>
    <xf numFmtId="0" fontId="28" fillId="2" borderId="14" xfId="1" applyFont="1" applyFill="1" applyBorder="1" applyAlignment="1" applyProtection="1">
      <alignment horizontal="center" vertical="center" wrapText="1"/>
      <protection hidden="1"/>
    </xf>
    <xf numFmtId="0" fontId="28" fillId="2" borderId="15" xfId="1" applyFont="1" applyFill="1" applyBorder="1" applyAlignment="1" applyProtection="1">
      <alignment horizontal="center" vertical="center" wrapText="1"/>
      <protection hidden="1"/>
    </xf>
    <xf numFmtId="0" fontId="5" fillId="0" borderId="36" xfId="0" applyFont="1" applyBorder="1" applyAlignment="1" applyProtection="1">
      <alignment horizontal="center" vertical="center" shrinkToFit="1"/>
      <protection hidden="1"/>
    </xf>
    <xf numFmtId="0" fontId="5" fillId="0" borderId="0" xfId="0" applyFont="1" applyBorder="1" applyAlignment="1" applyProtection="1">
      <alignment horizontal="center" vertical="center" shrinkToFit="1"/>
      <protection hidden="1"/>
    </xf>
    <xf numFmtId="0" fontId="6" fillId="0" borderId="36" xfId="0" applyFont="1" applyBorder="1" applyAlignment="1" applyProtection="1">
      <alignment horizontal="center" vertical="center" shrinkToFit="1"/>
      <protection hidden="1"/>
    </xf>
    <xf numFmtId="0" fontId="6" fillId="0" borderId="0" xfId="0" applyFont="1" applyBorder="1" applyAlignment="1" applyProtection="1">
      <alignment horizontal="center" vertical="center" shrinkToFit="1"/>
      <protection hidden="1"/>
    </xf>
    <xf numFmtId="0" fontId="19" fillId="10" borderId="74" xfId="0" applyFont="1" applyFill="1" applyBorder="1" applyAlignment="1" applyProtection="1">
      <alignment horizontal="center" vertical="center"/>
      <protection hidden="1"/>
    </xf>
    <xf numFmtId="0" fontId="19" fillId="10" borderId="75" xfId="0" applyFont="1" applyFill="1" applyBorder="1" applyAlignment="1" applyProtection="1">
      <alignment horizontal="center" vertical="center"/>
      <protection hidden="1"/>
    </xf>
    <xf numFmtId="0" fontId="19" fillId="10" borderId="76" xfId="0" applyFont="1" applyFill="1" applyBorder="1" applyAlignment="1" applyProtection="1">
      <alignment horizontal="center" vertical="center"/>
      <protection hidden="1"/>
    </xf>
    <xf numFmtId="0" fontId="19" fillId="10" borderId="77" xfId="0" applyFont="1" applyFill="1" applyBorder="1" applyAlignment="1" applyProtection="1">
      <alignment horizontal="center" vertical="center"/>
      <protection hidden="1"/>
    </xf>
    <xf numFmtId="0" fontId="19" fillId="10" borderId="78" xfId="0" applyFont="1" applyFill="1" applyBorder="1" applyAlignment="1" applyProtection="1">
      <alignment horizontal="center" vertical="center"/>
      <protection hidden="1"/>
    </xf>
    <xf numFmtId="0" fontId="19" fillId="10" borderId="79" xfId="0" applyFont="1" applyFill="1" applyBorder="1" applyAlignment="1" applyProtection="1">
      <alignment horizontal="center" vertical="center"/>
      <protection hidden="1"/>
    </xf>
    <xf numFmtId="0" fontId="22" fillId="0" borderId="0" xfId="3" applyFont="1" applyAlignment="1" applyProtection="1">
      <alignment horizontal="center" vertical="center" wrapText="1"/>
      <protection hidden="1"/>
    </xf>
    <xf numFmtId="0" fontId="22" fillId="0" borderId="0" xfId="3" applyFont="1" applyAlignment="1" applyProtection="1">
      <alignment horizontal="center" vertical="center"/>
      <protection hidden="1"/>
    </xf>
    <xf numFmtId="0" fontId="20" fillId="0" borderId="80" xfId="3" applyBorder="1" applyAlignment="1" applyProtection="1">
      <alignment horizontal="center" vertical="center"/>
      <protection hidden="1"/>
    </xf>
    <xf numFmtId="0" fontId="20" fillId="0" borderId="81" xfId="3" applyBorder="1" applyAlignment="1" applyProtection="1">
      <alignment horizontal="center" vertical="center"/>
      <protection hidden="1"/>
    </xf>
    <xf numFmtId="0" fontId="19" fillId="0" borderId="0" xfId="3" applyFont="1" applyAlignment="1">
      <alignment horizontal="center" vertical="center"/>
    </xf>
    <xf numFmtId="0" fontId="26" fillId="10" borderId="0" xfId="3" applyFont="1" applyFill="1" applyAlignment="1" applyProtection="1">
      <alignment horizontal="center" vertical="center"/>
      <protection hidden="1"/>
    </xf>
    <xf numFmtId="49" fontId="32" fillId="2" borderId="0" xfId="1" applyNumberFormat="1" applyFont="1" applyFill="1" applyAlignment="1">
      <alignment horizontal="center" vertical="center"/>
    </xf>
    <xf numFmtId="0" fontId="24" fillId="2" borderId="0" xfId="1" applyFont="1" applyFill="1" applyAlignment="1">
      <alignment horizontal="center" vertical="center"/>
    </xf>
  </cellXfs>
  <cellStyles count="6">
    <cellStyle name="Гиперссылка" xfId="1" builtinId="8"/>
    <cellStyle name="Гиперссылка 2" xfId="5"/>
    <cellStyle name="Обычный" xfId="0" builtinId="0"/>
    <cellStyle name="Обычный 2" xfId="3"/>
    <cellStyle name="Примечание" xfId="2" builtinId="10"/>
    <cellStyle name="Примечание 2" xfId="4"/>
  </cellStyles>
  <dxfs count="112">
    <dxf>
      <font>
        <b/>
        <i val="0"/>
        <color theme="4" tint="0.39994506668294322"/>
      </font>
    </dxf>
    <dxf>
      <font>
        <b val="0"/>
        <i/>
        <color theme="9"/>
      </font>
    </dxf>
    <dxf>
      <font>
        <b/>
        <i val="0"/>
        <color rgb="FFFF0000"/>
      </font>
    </dxf>
    <dxf>
      <font>
        <b/>
        <i val="0"/>
        <color theme="4" tint="0.39994506668294322"/>
      </font>
      <fill>
        <patternFill patternType="none">
          <bgColor auto="1"/>
        </patternFill>
      </fill>
    </dxf>
    <dxf>
      <font>
        <b val="0"/>
        <i/>
        <color theme="9"/>
      </font>
    </dxf>
    <dxf>
      <font>
        <b/>
        <i val="0"/>
        <color rgb="FFFF0000"/>
      </font>
    </dxf>
    <dxf>
      <font>
        <b/>
        <i val="0"/>
        <color theme="4" tint="0.39994506668294322"/>
      </font>
    </dxf>
    <dxf>
      <font>
        <b val="0"/>
        <i/>
        <color theme="9"/>
      </font>
    </dxf>
    <dxf>
      <font>
        <b/>
        <i val="0"/>
        <color rgb="FFFF0000"/>
      </font>
    </dxf>
    <dxf>
      <font>
        <b/>
        <i val="0"/>
        <color theme="4" tint="0.39994506668294322"/>
      </font>
      <fill>
        <patternFill patternType="none">
          <bgColor auto="1"/>
        </patternFill>
      </fill>
    </dxf>
    <dxf>
      <font>
        <b val="0"/>
        <i/>
        <color theme="9"/>
      </font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  <color rgb="FF008080"/>
      </font>
      <fill>
        <patternFill>
          <bgColor theme="7" tint="0.59996337778862885"/>
        </patternFill>
      </fill>
    </dxf>
    <dxf>
      <font>
        <b val="0"/>
        <i/>
        <color rgb="FF008080"/>
      </font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rgb="FF0000FF"/>
      </font>
      <fill>
        <patternFill>
          <bgColor theme="7" tint="0.59996337778862885"/>
        </patternFill>
      </fill>
    </dxf>
    <dxf>
      <font>
        <b/>
        <i val="0"/>
        <color rgb="FF0000FF"/>
      </font>
    </dxf>
    <dxf>
      <font>
        <b val="0"/>
        <i/>
        <color rgb="FF008080"/>
      </font>
      <fill>
        <patternFill>
          <bgColor theme="7" tint="0.59996337778862885"/>
        </patternFill>
      </fill>
    </dxf>
    <dxf>
      <font>
        <b val="0"/>
        <i/>
        <color rgb="FF008080"/>
      </font>
    </dxf>
    <dxf>
      <font>
        <b/>
        <i val="0"/>
        <color rgb="FF0000FF"/>
      </font>
      <fill>
        <patternFill>
          <bgColor theme="7" tint="0.59996337778862885"/>
        </patternFill>
      </fill>
    </dxf>
    <dxf>
      <font>
        <b/>
        <i val="0"/>
        <color rgb="FF0000FF"/>
      </font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  <color auto="1"/>
      </font>
      <fill>
        <patternFill>
          <bgColor rgb="FFFFFF99"/>
        </patternFill>
      </fill>
    </dxf>
    <dxf>
      <font>
        <condense val="0"/>
        <extend val="0"/>
        <color auto="1"/>
      </font>
      <fill>
        <patternFill>
          <bgColor rgb="FFFFFF99"/>
        </patternFill>
      </fill>
    </dxf>
    <dxf>
      <font>
        <b val="0"/>
        <i val="0"/>
        <condense val="0"/>
        <extend val="0"/>
        <color auto="1"/>
      </font>
      <fill>
        <patternFill>
          <bgColor theme="8" tint="0.79998168889431442"/>
        </patternFill>
      </fill>
    </dxf>
    <dxf>
      <font>
        <b/>
        <i val="0"/>
        <condense val="0"/>
        <extend val="0"/>
        <color auto="1"/>
      </font>
      <fill>
        <patternFill>
          <bgColor theme="8" tint="0.79998168889431442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colors>
    <mruColors>
      <color rgb="FF0000FF"/>
      <color rgb="FFFFFF99"/>
      <color rgb="FF3366FF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3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034C-4AFF-8D13-670AEED5F01E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34C-4AFF-8D13-670AEED5F01E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Statistics!$B$14:$B$16</c:f>
              <c:strCache>
                <c:ptCount val="3"/>
                <c:pt idx="0">
                  <c:v>G'alaba</c:v>
                </c:pt>
                <c:pt idx="1">
                  <c:v>Durang</c:v>
                </c:pt>
                <c:pt idx="2">
                  <c:v>Mag'lub</c:v>
                </c:pt>
              </c:strCache>
            </c:strRef>
          </c:cat>
          <c:val>
            <c:numRef>
              <c:f>Statistics!$C$14:$C$16</c:f>
              <c:numCache>
                <c:formatCode>General</c:formatCode>
                <c:ptCount val="3"/>
                <c:pt idx="0">
                  <c:v>25</c:v>
                </c:pt>
                <c:pt idx="1">
                  <c:v>20</c:v>
                </c:pt>
                <c:pt idx="2">
                  <c:v>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34C-4AFF-8D13-670AEED5F0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"/>
        <c:overlap val="-92"/>
        <c:axId val="186404024"/>
        <c:axId val="185794912"/>
      </c:barChart>
      <c:catAx>
        <c:axId val="186404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5794912"/>
        <c:crosses val="autoZero"/>
        <c:auto val="1"/>
        <c:lblAlgn val="ctr"/>
        <c:lblOffset val="100"/>
        <c:noMultiLvlLbl val="0"/>
      </c:catAx>
      <c:valAx>
        <c:axId val="185794912"/>
        <c:scaling>
          <c:orientation val="minMax"/>
        </c:scaling>
        <c:delete val="1"/>
        <c:axPos val="l"/>
        <c:majorGridlines>
          <c:spPr>
            <a:ln w="3175">
              <a:prstDash val="sysDot"/>
            </a:ln>
          </c:spPr>
        </c:majorGridlines>
        <c:numFmt formatCode="General" sourceLinked="1"/>
        <c:majorTickMark val="out"/>
        <c:minorTickMark val="none"/>
        <c:tickLblPos val="none"/>
        <c:crossAx val="18640402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ru-RU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3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C615-4961-9216-343D435E660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615-4961-9216-343D435E660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Statistics!$J$14:$J$16</c:f>
              <c:strCache>
                <c:ptCount val="3"/>
                <c:pt idx="0">
                  <c:v>G'alaba</c:v>
                </c:pt>
                <c:pt idx="1">
                  <c:v>Durang</c:v>
                </c:pt>
                <c:pt idx="2">
                  <c:v>Mag'lub</c:v>
                </c:pt>
              </c:strCache>
            </c:strRef>
          </c:cat>
          <c:val>
            <c:numRef>
              <c:f>Statistics!$K$14:$K$16</c:f>
              <c:numCache>
                <c:formatCode>General</c:formatCode>
                <c:ptCount val="3"/>
                <c:pt idx="0">
                  <c:v>43</c:v>
                </c:pt>
                <c:pt idx="1">
                  <c:v>16</c:v>
                </c:pt>
                <c:pt idx="2">
                  <c:v>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615-4961-9216-343D435E6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"/>
        <c:overlap val="-92"/>
        <c:axId val="207461536"/>
        <c:axId val="207461920"/>
      </c:barChart>
      <c:catAx>
        <c:axId val="2074615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207461920"/>
        <c:crosses val="autoZero"/>
        <c:auto val="1"/>
        <c:lblAlgn val="ctr"/>
        <c:lblOffset val="100"/>
        <c:noMultiLvlLbl val="0"/>
      </c:catAx>
      <c:valAx>
        <c:axId val="207461920"/>
        <c:scaling>
          <c:orientation val="minMax"/>
        </c:scaling>
        <c:delete val="1"/>
        <c:axPos val="l"/>
        <c:majorGridlines>
          <c:spPr>
            <a:ln w="3175">
              <a:prstDash val="sysDot"/>
            </a:ln>
          </c:spPr>
        </c:majorGridlines>
        <c:numFmt formatCode="General" sourceLinked="1"/>
        <c:majorTickMark val="out"/>
        <c:minorTickMark val="none"/>
        <c:tickLblPos val="none"/>
        <c:crossAx val="20746153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516339869281112E-2"/>
          <c:y val="0.14611872146118721"/>
          <c:w val="0.88496732026143732"/>
          <c:h val="0.704641714306260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>
                <a:lumMod val="20000"/>
                <a:lumOff val="8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7D0B-4208-A84B-EA4ABC1C00D0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D0B-4208-A84B-EA4ABC1C00D0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7D0B-4208-A84B-EA4ABC1C00D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3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D0B-4208-A84B-EA4ABC1C00D0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Statistics!$E$14:$E$20</c:f>
              <c:strCache>
                <c:ptCount val="7"/>
                <c:pt idx="0">
                  <c:v>&gt; 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-1</c:v>
                </c:pt>
                <c:pt idx="5">
                  <c:v>-2</c:v>
                </c:pt>
                <c:pt idx="6">
                  <c:v>&lt; -2</c:v>
                </c:pt>
              </c:strCache>
            </c:strRef>
          </c:cat>
          <c:val>
            <c:numRef>
              <c:f>Statistics!$F$14:$F$20</c:f>
              <c:numCache>
                <c:formatCode>General</c:formatCode>
                <c:ptCount val="7"/>
                <c:pt idx="0">
                  <c:v>3</c:v>
                </c:pt>
                <c:pt idx="1">
                  <c:v>10</c:v>
                </c:pt>
                <c:pt idx="2">
                  <c:v>12</c:v>
                </c:pt>
                <c:pt idx="3">
                  <c:v>20</c:v>
                </c:pt>
                <c:pt idx="4">
                  <c:v>13</c:v>
                </c:pt>
                <c:pt idx="5">
                  <c:v>3</c:v>
                </c:pt>
                <c:pt idx="6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7D0B-4208-A84B-EA4ABC1C00D0}"/>
            </c:ext>
            <c:ext xmlns:c15="http://schemas.microsoft.com/office/drawing/2012/chart" uri="{02D57815-91ED-43cb-92C2-25804820EDAC}">
              <c15:filteredSeriesTitle>
                <c15:tx>
                  <c:v>Goal difference</c:v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"/>
        <c:overlap val="-92"/>
        <c:axId val="207508600"/>
        <c:axId val="207628808"/>
      </c:barChart>
      <c:catAx>
        <c:axId val="2075086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7628808"/>
        <c:crosses val="autoZero"/>
        <c:auto val="1"/>
        <c:lblAlgn val="ctr"/>
        <c:lblOffset val="100"/>
        <c:noMultiLvlLbl val="0"/>
      </c:catAx>
      <c:valAx>
        <c:axId val="207628808"/>
        <c:scaling>
          <c:orientation val="minMax"/>
        </c:scaling>
        <c:delete val="1"/>
        <c:axPos val="l"/>
        <c:majorGridlines>
          <c:spPr>
            <a:ln w="3175">
              <a:prstDash val="sysDot"/>
            </a:ln>
          </c:spPr>
        </c:majorGridlines>
        <c:numFmt formatCode="General" sourceLinked="1"/>
        <c:majorTickMark val="out"/>
        <c:minorTickMark val="none"/>
        <c:tickLblPos val="none"/>
        <c:crossAx val="20750860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ru-RU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/>
              <a:t>To'plar nisbati</a:t>
            </a:r>
          </a:p>
        </c:rich>
      </c:tx>
      <c:layout>
        <c:manualLayout>
          <c:xMode val="edge"/>
          <c:yMode val="edge"/>
          <c:x val="0.29811725197974859"/>
          <c:y val="0"/>
        </c:manualLayout>
      </c:layout>
      <c:overlay val="1"/>
      <c:spPr>
        <a:noFill/>
      </c:spPr>
    </c:title>
    <c:autoTitleDeleted val="0"/>
    <c:plotArea>
      <c:layout>
        <c:manualLayout>
          <c:layoutTarget val="inner"/>
          <c:xMode val="edge"/>
          <c:yMode val="edge"/>
          <c:x val="5.751633986928114E-2"/>
          <c:y val="0.14611872146118721"/>
          <c:w val="0.8849673202614371"/>
          <c:h val="0.70464171430626032"/>
        </c:manualLayout>
      </c:layout>
      <c:barChart>
        <c:barDir val="col"/>
        <c:grouping val="clustered"/>
        <c:varyColors val="0"/>
        <c:ser>
          <c:idx val="0"/>
          <c:order val="0"/>
          <c:tx>
            <c:v>Goal difference</c:v>
          </c:tx>
          <c:spPr>
            <a:solidFill>
              <a:schemeClr val="accent2">
                <a:lumMod val="20000"/>
                <a:lumOff val="8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2B4A-40DF-9141-A31357F3F97B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B4A-40DF-9141-A31357F3F97B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2B4A-40DF-9141-A31357F3F97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3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B4A-40DF-9141-A31357F3F97B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Statistics!$E$14:$E$20</c:f>
              <c:strCache>
                <c:ptCount val="7"/>
                <c:pt idx="0">
                  <c:v>&gt; 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-1</c:v>
                </c:pt>
                <c:pt idx="5">
                  <c:v>-2</c:v>
                </c:pt>
                <c:pt idx="6">
                  <c:v>&lt; -2</c:v>
                </c:pt>
              </c:strCache>
            </c:strRef>
          </c:cat>
          <c:val>
            <c:numRef>
              <c:f>Statistics!$N$14:$N$20</c:f>
              <c:numCache>
                <c:formatCode>General</c:formatCode>
                <c:ptCount val="7"/>
                <c:pt idx="0">
                  <c:v>10</c:v>
                </c:pt>
                <c:pt idx="1">
                  <c:v>12</c:v>
                </c:pt>
                <c:pt idx="2">
                  <c:v>21</c:v>
                </c:pt>
                <c:pt idx="3">
                  <c:v>16</c:v>
                </c:pt>
                <c:pt idx="4">
                  <c:v>15</c:v>
                </c:pt>
                <c:pt idx="5">
                  <c:v>5</c:v>
                </c:pt>
                <c:pt idx="6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2B4A-40DF-9141-A31357F3F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"/>
        <c:overlap val="-92"/>
        <c:axId val="207661792"/>
        <c:axId val="207662176"/>
      </c:barChart>
      <c:catAx>
        <c:axId val="207661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7662176"/>
        <c:crosses val="autoZero"/>
        <c:auto val="1"/>
        <c:lblAlgn val="ctr"/>
        <c:lblOffset val="100"/>
        <c:noMultiLvlLbl val="0"/>
      </c:catAx>
      <c:valAx>
        <c:axId val="207662176"/>
        <c:scaling>
          <c:orientation val="minMax"/>
        </c:scaling>
        <c:delete val="1"/>
        <c:axPos val="l"/>
        <c:majorGridlines>
          <c:spPr>
            <a:ln w="3175">
              <a:prstDash val="sysDot"/>
            </a:ln>
          </c:spPr>
        </c:majorGridlines>
        <c:numFmt formatCode="General" sourceLinked="1"/>
        <c:majorTickMark val="out"/>
        <c:minorTickMark val="none"/>
        <c:tickLblPos val="none"/>
        <c:crossAx val="20766179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ru-RU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hyperlink" Target="https://t.me/xushnudbek" TargetMode="External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4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hyperlink" Target="https://t.me/FutbolTVHD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33.png"/><Relationship Id="rId5" Type="http://schemas.openxmlformats.org/officeDocument/2006/relationships/hyperlink" Target="https://t.me/xushnudbek" TargetMode="Externa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1260929</xdr:colOff>
      <xdr:row>6</xdr:row>
      <xdr:rowOff>22678</xdr:rowOff>
    </xdr:from>
    <xdr:to>
      <xdr:col>4</xdr:col>
      <xdr:colOff>1492251</xdr:colOff>
      <xdr:row>6</xdr:row>
      <xdr:rowOff>176893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782D1F7B-CF0A-41E6-9288-EB4175BF7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3" y="1356178"/>
          <a:ext cx="231322" cy="154215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1260928</xdr:colOff>
      <xdr:row>22</xdr:row>
      <xdr:rowOff>18143</xdr:rowOff>
    </xdr:from>
    <xdr:to>
      <xdr:col>4</xdr:col>
      <xdr:colOff>1492250</xdr:colOff>
      <xdr:row>22</xdr:row>
      <xdr:rowOff>172358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A074EA50-1E57-40E6-851F-CA0EBD534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2" y="4399643"/>
          <a:ext cx="231322" cy="154215"/>
        </a:xfrm>
        <a:prstGeom prst="rect">
          <a:avLst/>
        </a:prstGeom>
      </xdr:spPr>
    </xdr:pic>
    <xdr:clientData/>
  </xdr:twoCellAnchor>
  <xdr:twoCellAnchor editAs="oneCell">
    <xdr:from>
      <xdr:col>7</xdr:col>
      <xdr:colOff>22679</xdr:colOff>
      <xdr:row>38</xdr:row>
      <xdr:rowOff>18143</xdr:rowOff>
    </xdr:from>
    <xdr:to>
      <xdr:col>7</xdr:col>
      <xdr:colOff>254001</xdr:colOff>
      <xdr:row>38</xdr:row>
      <xdr:rowOff>172358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F020D312-7BC3-4FBD-AB9E-A97199354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7447643"/>
          <a:ext cx="231322" cy="154215"/>
        </a:xfrm>
        <a:prstGeom prst="rect">
          <a:avLst/>
        </a:prstGeom>
      </xdr:spPr>
    </xdr:pic>
    <xdr:clientData/>
  </xdr:twoCellAnchor>
  <xdr:twoCellAnchor editAs="oneCell">
    <xdr:from>
      <xdr:col>7</xdr:col>
      <xdr:colOff>22678</xdr:colOff>
      <xdr:row>6</xdr:row>
      <xdr:rowOff>22679</xdr:rowOff>
    </xdr:from>
    <xdr:to>
      <xdr:col>7</xdr:col>
      <xdr:colOff>251278</xdr:colOff>
      <xdr:row>6</xdr:row>
      <xdr:rowOff>178127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8FF0393A-621D-42D6-9296-5F6C72936D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13561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22678</xdr:colOff>
      <xdr:row>23</xdr:row>
      <xdr:rowOff>22679</xdr:rowOff>
    </xdr:from>
    <xdr:to>
      <xdr:col>7</xdr:col>
      <xdr:colOff>251278</xdr:colOff>
      <xdr:row>23</xdr:row>
      <xdr:rowOff>178127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93FF5326-1E09-47F7-8728-D0C1EDCDD4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45946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1260928</xdr:colOff>
      <xdr:row>39</xdr:row>
      <xdr:rowOff>22678</xdr:rowOff>
    </xdr:from>
    <xdr:to>
      <xdr:col>4</xdr:col>
      <xdr:colOff>1489528</xdr:colOff>
      <xdr:row>39</xdr:row>
      <xdr:rowOff>178126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D26A5583-6F72-424C-9841-654CCA231C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2" y="764267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1260929</xdr:colOff>
      <xdr:row>7</xdr:row>
      <xdr:rowOff>22678</xdr:rowOff>
    </xdr:from>
    <xdr:to>
      <xdr:col>4</xdr:col>
      <xdr:colOff>1489529</xdr:colOff>
      <xdr:row>7</xdr:row>
      <xdr:rowOff>178126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544404A8-C949-4303-B512-2DD6D2E58D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3" y="154667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27214</xdr:colOff>
      <xdr:row>22</xdr:row>
      <xdr:rowOff>22679</xdr:rowOff>
    </xdr:from>
    <xdr:to>
      <xdr:col>7</xdr:col>
      <xdr:colOff>255814</xdr:colOff>
      <xdr:row>22</xdr:row>
      <xdr:rowOff>178127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FD67162D-EC15-4017-A67B-0BFB58ADA5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0285" y="44041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22678</xdr:colOff>
      <xdr:row>39</xdr:row>
      <xdr:rowOff>22678</xdr:rowOff>
    </xdr:from>
    <xdr:to>
      <xdr:col>7</xdr:col>
      <xdr:colOff>251278</xdr:colOff>
      <xdr:row>39</xdr:row>
      <xdr:rowOff>178126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4E350EA3-E56D-44C1-821A-98392C4744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764267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18142</xdr:colOff>
      <xdr:row>7</xdr:row>
      <xdr:rowOff>31750</xdr:rowOff>
    </xdr:from>
    <xdr:to>
      <xdr:col>7</xdr:col>
      <xdr:colOff>246742</xdr:colOff>
      <xdr:row>7</xdr:row>
      <xdr:rowOff>187198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5C9DDC49-9DD8-43CB-9687-395B464F343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213" y="15557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1260928</xdr:colOff>
      <xdr:row>23</xdr:row>
      <xdr:rowOff>36285</xdr:rowOff>
    </xdr:from>
    <xdr:to>
      <xdr:col>4</xdr:col>
      <xdr:colOff>1489528</xdr:colOff>
      <xdr:row>24</xdr:row>
      <xdr:rowOff>1233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xmlns="" id="{94574D24-6927-4705-B0D1-CF432FF5A1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2" y="4608285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1260928</xdr:colOff>
      <xdr:row>38</xdr:row>
      <xdr:rowOff>27214</xdr:rowOff>
    </xdr:from>
    <xdr:to>
      <xdr:col>4</xdr:col>
      <xdr:colOff>1489528</xdr:colOff>
      <xdr:row>38</xdr:row>
      <xdr:rowOff>182662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xmlns="" id="{907F9C8A-37F1-41EA-830E-5B6DA553A6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2" y="7456714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1260929</xdr:colOff>
      <xdr:row>8</xdr:row>
      <xdr:rowOff>22679</xdr:rowOff>
    </xdr:from>
    <xdr:to>
      <xdr:col>4</xdr:col>
      <xdr:colOff>1489529</xdr:colOff>
      <xdr:row>8</xdr:row>
      <xdr:rowOff>178127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B758F92B-13BF-4E34-BBDF-057A37F5A6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3" y="17371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1260929</xdr:colOff>
      <xdr:row>24</xdr:row>
      <xdr:rowOff>22679</xdr:rowOff>
    </xdr:from>
    <xdr:to>
      <xdr:col>4</xdr:col>
      <xdr:colOff>1489529</xdr:colOff>
      <xdr:row>24</xdr:row>
      <xdr:rowOff>178127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xmlns="" id="{3C7C7E3F-C397-46B4-80E5-E01A13897B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3" y="47851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22679</xdr:colOff>
      <xdr:row>40</xdr:row>
      <xdr:rowOff>22678</xdr:rowOff>
    </xdr:from>
    <xdr:to>
      <xdr:col>7</xdr:col>
      <xdr:colOff>251279</xdr:colOff>
      <xdr:row>40</xdr:row>
      <xdr:rowOff>178126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xmlns="" id="{7E8A180D-4650-4A37-BFAB-CE482E9729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783317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18143</xdr:colOff>
      <xdr:row>8</xdr:row>
      <xdr:rowOff>22678</xdr:rowOff>
    </xdr:from>
    <xdr:to>
      <xdr:col>7</xdr:col>
      <xdr:colOff>246743</xdr:colOff>
      <xdr:row>8</xdr:row>
      <xdr:rowOff>178126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xmlns="" id="{7CEF2871-1DC4-467D-88D6-19312A379F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214" y="173717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22679</xdr:colOff>
      <xdr:row>25</xdr:row>
      <xdr:rowOff>27214</xdr:rowOff>
    </xdr:from>
    <xdr:to>
      <xdr:col>7</xdr:col>
      <xdr:colOff>251279</xdr:colOff>
      <xdr:row>25</xdr:row>
      <xdr:rowOff>182662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1E4D3EF1-7C37-484B-BF7F-7419829506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4980214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1256393</xdr:colOff>
      <xdr:row>41</xdr:row>
      <xdr:rowOff>22679</xdr:rowOff>
    </xdr:from>
    <xdr:to>
      <xdr:col>4</xdr:col>
      <xdr:colOff>1484993</xdr:colOff>
      <xdr:row>41</xdr:row>
      <xdr:rowOff>178127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F427A27E-B507-49F5-B9FD-8022163B26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2107" y="80236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18143</xdr:colOff>
      <xdr:row>41</xdr:row>
      <xdr:rowOff>27214</xdr:rowOff>
    </xdr:from>
    <xdr:to>
      <xdr:col>7</xdr:col>
      <xdr:colOff>246743</xdr:colOff>
      <xdr:row>41</xdr:row>
      <xdr:rowOff>182662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xmlns="" id="{469088DB-5DF4-4A2B-B7C2-9A55EED56F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214" y="8028214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22678</xdr:colOff>
      <xdr:row>24</xdr:row>
      <xdr:rowOff>22678</xdr:rowOff>
    </xdr:from>
    <xdr:to>
      <xdr:col>7</xdr:col>
      <xdr:colOff>251278</xdr:colOff>
      <xdr:row>24</xdr:row>
      <xdr:rowOff>178126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430DB9D2-C059-44FC-912C-20B8AF1198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478517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1260929</xdr:colOff>
      <xdr:row>9</xdr:row>
      <xdr:rowOff>18143</xdr:rowOff>
    </xdr:from>
    <xdr:to>
      <xdr:col>4</xdr:col>
      <xdr:colOff>1489529</xdr:colOff>
      <xdr:row>9</xdr:row>
      <xdr:rowOff>173591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20BA7981-FAB6-48F3-9D3C-1FFF5BAE22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3" y="192314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18143</xdr:colOff>
      <xdr:row>9</xdr:row>
      <xdr:rowOff>22678</xdr:rowOff>
    </xdr:from>
    <xdr:to>
      <xdr:col>7</xdr:col>
      <xdr:colOff>246743</xdr:colOff>
      <xdr:row>9</xdr:row>
      <xdr:rowOff>178126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F8911F8B-EFB5-4EAF-9BCF-52B74B176C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214" y="192767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1260928</xdr:colOff>
      <xdr:row>25</xdr:row>
      <xdr:rowOff>18143</xdr:rowOff>
    </xdr:from>
    <xdr:to>
      <xdr:col>4</xdr:col>
      <xdr:colOff>1489528</xdr:colOff>
      <xdr:row>25</xdr:row>
      <xdr:rowOff>173591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B9AE9F33-B65B-479A-B4AC-45E521F319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2" y="497114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1260929</xdr:colOff>
      <xdr:row>40</xdr:row>
      <xdr:rowOff>18142</xdr:rowOff>
    </xdr:from>
    <xdr:to>
      <xdr:col>4</xdr:col>
      <xdr:colOff>1489529</xdr:colOff>
      <xdr:row>40</xdr:row>
      <xdr:rowOff>173590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1E03EFE6-6F0A-42E4-9B18-4EE68916BF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3" y="7828642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1260928</xdr:colOff>
      <xdr:row>10</xdr:row>
      <xdr:rowOff>22679</xdr:rowOff>
    </xdr:from>
    <xdr:to>
      <xdr:col>4</xdr:col>
      <xdr:colOff>1489528</xdr:colOff>
      <xdr:row>10</xdr:row>
      <xdr:rowOff>178127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34E832B8-E97E-4A62-95AC-8B1007A622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2" y="21181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1260929</xdr:colOff>
      <xdr:row>26</xdr:row>
      <xdr:rowOff>22679</xdr:rowOff>
    </xdr:from>
    <xdr:to>
      <xdr:col>4</xdr:col>
      <xdr:colOff>1489529</xdr:colOff>
      <xdr:row>26</xdr:row>
      <xdr:rowOff>178127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FD3E60C5-3004-45D9-86DC-AEAECCDB9D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3" y="51661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18143</xdr:colOff>
      <xdr:row>42</xdr:row>
      <xdr:rowOff>22678</xdr:rowOff>
    </xdr:from>
    <xdr:to>
      <xdr:col>7</xdr:col>
      <xdr:colOff>246743</xdr:colOff>
      <xdr:row>42</xdr:row>
      <xdr:rowOff>178126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96520393-3B3A-4783-989C-AC1B55C8EE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214" y="821417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18143</xdr:colOff>
      <xdr:row>10</xdr:row>
      <xdr:rowOff>22679</xdr:rowOff>
    </xdr:from>
    <xdr:to>
      <xdr:col>7</xdr:col>
      <xdr:colOff>246743</xdr:colOff>
      <xdr:row>10</xdr:row>
      <xdr:rowOff>178127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86F25E43-2711-437F-BA14-DE451A8343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214" y="21181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18143</xdr:colOff>
      <xdr:row>27</xdr:row>
      <xdr:rowOff>18143</xdr:rowOff>
    </xdr:from>
    <xdr:to>
      <xdr:col>7</xdr:col>
      <xdr:colOff>246743</xdr:colOff>
      <xdr:row>27</xdr:row>
      <xdr:rowOff>173591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0E8E43E5-63FB-435A-AF15-FFDA7DBD25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214" y="535214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1256393</xdr:colOff>
      <xdr:row>43</xdr:row>
      <xdr:rowOff>18143</xdr:rowOff>
    </xdr:from>
    <xdr:to>
      <xdr:col>4</xdr:col>
      <xdr:colOff>1484993</xdr:colOff>
      <xdr:row>43</xdr:row>
      <xdr:rowOff>173591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8135ECA4-6926-4D9E-84A4-8CFF47F974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2107" y="840014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1260929</xdr:colOff>
      <xdr:row>11</xdr:row>
      <xdr:rowOff>22679</xdr:rowOff>
    </xdr:from>
    <xdr:to>
      <xdr:col>4</xdr:col>
      <xdr:colOff>1489529</xdr:colOff>
      <xdr:row>11</xdr:row>
      <xdr:rowOff>178127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DB5F122D-CEDE-4275-9F1E-149FFDF1E3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3" y="23086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22678</xdr:colOff>
      <xdr:row>26</xdr:row>
      <xdr:rowOff>22679</xdr:rowOff>
    </xdr:from>
    <xdr:to>
      <xdr:col>7</xdr:col>
      <xdr:colOff>251278</xdr:colOff>
      <xdr:row>26</xdr:row>
      <xdr:rowOff>178127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9FD366AD-6D2A-47C3-8BAD-A5817B6E40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51661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18143</xdr:colOff>
      <xdr:row>43</xdr:row>
      <xdr:rowOff>18143</xdr:rowOff>
    </xdr:from>
    <xdr:to>
      <xdr:col>7</xdr:col>
      <xdr:colOff>246743</xdr:colOff>
      <xdr:row>43</xdr:row>
      <xdr:rowOff>173591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FEB6D2A6-1AF7-4F21-8948-55E6E89EDD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214" y="840014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18143</xdr:colOff>
      <xdr:row>11</xdr:row>
      <xdr:rowOff>18143</xdr:rowOff>
    </xdr:from>
    <xdr:to>
      <xdr:col>7</xdr:col>
      <xdr:colOff>246743</xdr:colOff>
      <xdr:row>11</xdr:row>
      <xdr:rowOff>173591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268C9EB8-59FE-4E14-B624-F9E0FA8C9A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214" y="230414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1260929</xdr:colOff>
      <xdr:row>27</xdr:row>
      <xdr:rowOff>18143</xdr:rowOff>
    </xdr:from>
    <xdr:to>
      <xdr:col>4</xdr:col>
      <xdr:colOff>1489529</xdr:colOff>
      <xdr:row>27</xdr:row>
      <xdr:rowOff>173591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xmlns="" id="{CC2E3A4A-21B4-418E-82B8-13DA91685B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3" y="535214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1256393</xdr:colOff>
      <xdr:row>42</xdr:row>
      <xdr:rowOff>18143</xdr:rowOff>
    </xdr:from>
    <xdr:to>
      <xdr:col>4</xdr:col>
      <xdr:colOff>1484993</xdr:colOff>
      <xdr:row>42</xdr:row>
      <xdr:rowOff>173591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xmlns="" id="{A774D11C-BCC9-4626-A38C-43CDFA0C61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2107" y="820964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1260928</xdr:colOff>
      <xdr:row>12</xdr:row>
      <xdr:rowOff>18143</xdr:rowOff>
    </xdr:from>
    <xdr:to>
      <xdr:col>4</xdr:col>
      <xdr:colOff>1489528</xdr:colOff>
      <xdr:row>12</xdr:row>
      <xdr:rowOff>173591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3091D98F-39A3-4DED-AB86-1102228192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2" y="249464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1260928</xdr:colOff>
      <xdr:row>28</xdr:row>
      <xdr:rowOff>22679</xdr:rowOff>
    </xdr:from>
    <xdr:to>
      <xdr:col>4</xdr:col>
      <xdr:colOff>1489528</xdr:colOff>
      <xdr:row>28</xdr:row>
      <xdr:rowOff>178127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xmlns="" id="{7D46A7CE-446D-40BD-BAAF-E08CC29168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2" y="55471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22679</xdr:colOff>
      <xdr:row>44</xdr:row>
      <xdr:rowOff>18143</xdr:rowOff>
    </xdr:from>
    <xdr:to>
      <xdr:col>7</xdr:col>
      <xdr:colOff>251279</xdr:colOff>
      <xdr:row>44</xdr:row>
      <xdr:rowOff>173591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xmlns="" id="{8FE24F44-6FF3-459D-B7B6-61AD5F6151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859064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22678</xdr:colOff>
      <xdr:row>12</xdr:row>
      <xdr:rowOff>22679</xdr:rowOff>
    </xdr:from>
    <xdr:to>
      <xdr:col>7</xdr:col>
      <xdr:colOff>251278</xdr:colOff>
      <xdr:row>12</xdr:row>
      <xdr:rowOff>178127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xmlns="" id="{9AFF4CDD-6468-4AC0-9266-9BCA906604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24991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1256393</xdr:colOff>
      <xdr:row>45</xdr:row>
      <xdr:rowOff>22679</xdr:rowOff>
    </xdr:from>
    <xdr:to>
      <xdr:col>4</xdr:col>
      <xdr:colOff>1484993</xdr:colOff>
      <xdr:row>45</xdr:row>
      <xdr:rowOff>178127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xmlns="" id="{EF89DD13-877B-4526-9931-DC1331EB162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2107" y="87856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18143</xdr:colOff>
      <xdr:row>29</xdr:row>
      <xdr:rowOff>22678</xdr:rowOff>
    </xdr:from>
    <xdr:to>
      <xdr:col>7</xdr:col>
      <xdr:colOff>246743</xdr:colOff>
      <xdr:row>29</xdr:row>
      <xdr:rowOff>178126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xmlns="" id="{3C6BBFBB-3A0D-4F81-8B86-62D3359426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214" y="573767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1260928</xdr:colOff>
      <xdr:row>13</xdr:row>
      <xdr:rowOff>22679</xdr:rowOff>
    </xdr:from>
    <xdr:to>
      <xdr:col>4</xdr:col>
      <xdr:colOff>1489528</xdr:colOff>
      <xdr:row>13</xdr:row>
      <xdr:rowOff>178127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xmlns="" id="{28AD2DE9-AEBE-4886-BA39-2098C7ACD2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642" y="268967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17318</xdr:colOff>
      <xdr:row>28</xdr:row>
      <xdr:rowOff>17318</xdr:rowOff>
    </xdr:from>
    <xdr:to>
      <xdr:col>7</xdr:col>
      <xdr:colOff>245918</xdr:colOff>
      <xdr:row>28</xdr:row>
      <xdr:rowOff>172766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xmlns="" id="{219D88A8-51A3-43CF-91FA-D1C03D6BFC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554181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21647</xdr:colOff>
      <xdr:row>45</xdr:row>
      <xdr:rowOff>17318</xdr:rowOff>
    </xdr:from>
    <xdr:to>
      <xdr:col>7</xdr:col>
      <xdr:colOff>250247</xdr:colOff>
      <xdr:row>45</xdr:row>
      <xdr:rowOff>172766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xmlns="" id="{6C863DD3-89DA-40AE-955B-A207025BBC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0079" y="878031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17318</xdr:colOff>
      <xdr:row>13</xdr:row>
      <xdr:rowOff>21648</xdr:rowOff>
    </xdr:from>
    <xdr:to>
      <xdr:col>7</xdr:col>
      <xdr:colOff>245918</xdr:colOff>
      <xdr:row>13</xdr:row>
      <xdr:rowOff>177096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xmlns="" id="{6532FDD9-9E8C-4CED-BEA1-3588AAAFCD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268864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1259897</xdr:colOff>
      <xdr:row>29</xdr:row>
      <xdr:rowOff>21648</xdr:rowOff>
    </xdr:from>
    <xdr:to>
      <xdr:col>4</xdr:col>
      <xdr:colOff>1488497</xdr:colOff>
      <xdr:row>29</xdr:row>
      <xdr:rowOff>177096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xmlns="" id="{1E2A188B-6FFD-484C-B377-17AB21746F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0147" y="573664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1255568</xdr:colOff>
      <xdr:row>44</xdr:row>
      <xdr:rowOff>17318</xdr:rowOff>
    </xdr:from>
    <xdr:to>
      <xdr:col>4</xdr:col>
      <xdr:colOff>1484168</xdr:colOff>
      <xdr:row>44</xdr:row>
      <xdr:rowOff>172766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xmlns="" id="{A0969B6B-28C3-4681-B41E-70E963636C2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5818" y="8589818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14</xdr:row>
      <xdr:rowOff>23812</xdr:rowOff>
    </xdr:from>
    <xdr:to>
      <xdr:col>4</xdr:col>
      <xdr:colOff>1485900</xdr:colOff>
      <xdr:row>14</xdr:row>
      <xdr:rowOff>179260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xmlns="" id="{FA269DB6-46C6-4218-B3C4-C8B01819E8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2881312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1262063</xdr:colOff>
      <xdr:row>30</xdr:row>
      <xdr:rowOff>19050</xdr:rowOff>
    </xdr:from>
    <xdr:to>
      <xdr:col>4</xdr:col>
      <xdr:colOff>1490663</xdr:colOff>
      <xdr:row>30</xdr:row>
      <xdr:rowOff>174498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xmlns="" id="{62B9BA3E-DF82-4DE7-8342-8154C9F1C6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3" y="5924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46</xdr:row>
      <xdr:rowOff>19050</xdr:rowOff>
    </xdr:from>
    <xdr:to>
      <xdr:col>7</xdr:col>
      <xdr:colOff>247650</xdr:colOff>
      <xdr:row>46</xdr:row>
      <xdr:rowOff>174498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xmlns="" id="{89AD693E-AE03-477C-A59D-DA119AD033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8972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14</xdr:row>
      <xdr:rowOff>19050</xdr:rowOff>
    </xdr:from>
    <xdr:to>
      <xdr:col>7</xdr:col>
      <xdr:colOff>203073</xdr:colOff>
      <xdr:row>14</xdr:row>
      <xdr:rowOff>174498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xmlns="" id="{F1F82DCD-F711-4055-929C-9039D8C2EE9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2876550"/>
          <a:ext cx="155448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42862</xdr:colOff>
      <xdr:row>31</xdr:row>
      <xdr:rowOff>19050</xdr:rowOff>
    </xdr:from>
    <xdr:to>
      <xdr:col>7</xdr:col>
      <xdr:colOff>198310</xdr:colOff>
      <xdr:row>31</xdr:row>
      <xdr:rowOff>174498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xmlns="" id="{B045A3C6-F8DF-4129-9198-8F3FD7EFBE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9562" y="6115050"/>
          <a:ext cx="155448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1290638</xdr:colOff>
      <xdr:row>47</xdr:row>
      <xdr:rowOff>19050</xdr:rowOff>
    </xdr:from>
    <xdr:to>
      <xdr:col>4</xdr:col>
      <xdr:colOff>1446086</xdr:colOff>
      <xdr:row>47</xdr:row>
      <xdr:rowOff>174498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xmlns="" id="{A9055DF6-EFE3-4745-B03C-E512B8030D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0888" y="9163050"/>
          <a:ext cx="155448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15</xdr:row>
      <xdr:rowOff>19050</xdr:rowOff>
    </xdr:from>
    <xdr:to>
      <xdr:col>4</xdr:col>
      <xdr:colOff>1485900</xdr:colOff>
      <xdr:row>15</xdr:row>
      <xdr:rowOff>174498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xmlns="" id="{7E1E8E5D-9CD8-483B-A965-63B4B8DB42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3067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30</xdr:row>
      <xdr:rowOff>19052</xdr:rowOff>
    </xdr:from>
    <xdr:to>
      <xdr:col>7</xdr:col>
      <xdr:colOff>247650</xdr:colOff>
      <xdr:row>30</xdr:row>
      <xdr:rowOff>174500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xmlns="" id="{B1ED872F-CCCE-40D5-BF89-D47AB08A74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5924552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47</xdr:row>
      <xdr:rowOff>19050</xdr:rowOff>
    </xdr:from>
    <xdr:to>
      <xdr:col>7</xdr:col>
      <xdr:colOff>247650</xdr:colOff>
      <xdr:row>47</xdr:row>
      <xdr:rowOff>174498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xmlns="" id="{CA2FB5DC-9F67-45CC-8D0B-5D9411E6E1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9163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15</xdr:row>
      <xdr:rowOff>19050</xdr:rowOff>
    </xdr:from>
    <xdr:to>
      <xdr:col>7</xdr:col>
      <xdr:colOff>247650</xdr:colOff>
      <xdr:row>15</xdr:row>
      <xdr:rowOff>174498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xmlns="" id="{9F9829FD-F645-48AC-8CC3-79FCC46F362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3067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1262063</xdr:colOff>
      <xdr:row>31</xdr:row>
      <xdr:rowOff>19050</xdr:rowOff>
    </xdr:from>
    <xdr:to>
      <xdr:col>4</xdr:col>
      <xdr:colOff>1490663</xdr:colOff>
      <xdr:row>31</xdr:row>
      <xdr:rowOff>174498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xmlns="" id="{66F63FE7-6012-4746-9787-F455E4CC4A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3" y="6115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46</xdr:row>
      <xdr:rowOff>19050</xdr:rowOff>
    </xdr:from>
    <xdr:to>
      <xdr:col>4</xdr:col>
      <xdr:colOff>1485900</xdr:colOff>
      <xdr:row>46</xdr:row>
      <xdr:rowOff>174498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xmlns="" id="{2334520F-8F71-49F5-91BB-97D5AFDE78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8972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16</xdr:row>
      <xdr:rowOff>19050</xdr:rowOff>
    </xdr:from>
    <xdr:to>
      <xdr:col>4</xdr:col>
      <xdr:colOff>1485900</xdr:colOff>
      <xdr:row>16</xdr:row>
      <xdr:rowOff>174498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xmlns="" id="{5B72B181-A6EA-4411-85A3-175E55FA11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3257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32</xdr:row>
      <xdr:rowOff>19050</xdr:rowOff>
    </xdr:from>
    <xdr:to>
      <xdr:col>4</xdr:col>
      <xdr:colOff>1485900</xdr:colOff>
      <xdr:row>32</xdr:row>
      <xdr:rowOff>174498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xmlns="" id="{1E829F40-6E2B-4B38-8263-9E03252F0D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6305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48</xdr:row>
      <xdr:rowOff>19049</xdr:rowOff>
    </xdr:from>
    <xdr:to>
      <xdr:col>7</xdr:col>
      <xdr:colOff>247650</xdr:colOff>
      <xdr:row>48</xdr:row>
      <xdr:rowOff>174497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xmlns="" id="{1C9A14DD-2CA3-481B-8F3E-99E6EA13B1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9353549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16</xdr:row>
      <xdr:rowOff>23813</xdr:rowOff>
    </xdr:from>
    <xdr:to>
      <xdr:col>7</xdr:col>
      <xdr:colOff>247650</xdr:colOff>
      <xdr:row>16</xdr:row>
      <xdr:rowOff>179261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xmlns="" id="{D5513EF9-D185-415D-BA71-860A6E90A4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326231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33</xdr:row>
      <xdr:rowOff>19050</xdr:rowOff>
    </xdr:from>
    <xdr:to>
      <xdr:col>7</xdr:col>
      <xdr:colOff>247650</xdr:colOff>
      <xdr:row>33</xdr:row>
      <xdr:rowOff>174498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xmlns="" id="{B1643AE2-2F85-47C0-B0A1-56EC1E143B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6496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1262062</xdr:colOff>
      <xdr:row>49</xdr:row>
      <xdr:rowOff>19050</xdr:rowOff>
    </xdr:from>
    <xdr:to>
      <xdr:col>4</xdr:col>
      <xdr:colOff>1490662</xdr:colOff>
      <xdr:row>49</xdr:row>
      <xdr:rowOff>174498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xmlns="" id="{F7944DA7-71BA-4D41-BE00-6F1BB2CC03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9544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17</xdr:row>
      <xdr:rowOff>19050</xdr:rowOff>
    </xdr:from>
    <xdr:to>
      <xdr:col>4</xdr:col>
      <xdr:colOff>1485900</xdr:colOff>
      <xdr:row>17</xdr:row>
      <xdr:rowOff>174498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xmlns="" id="{972BBEE1-94C8-4032-8C1E-43F2698B3B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3448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32</xdr:row>
      <xdr:rowOff>19050</xdr:rowOff>
    </xdr:from>
    <xdr:to>
      <xdr:col>7</xdr:col>
      <xdr:colOff>247650</xdr:colOff>
      <xdr:row>32</xdr:row>
      <xdr:rowOff>174498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xmlns="" id="{8954795A-F65C-4D16-958F-24EBDC185F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6305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19049</xdr:colOff>
      <xdr:row>49</xdr:row>
      <xdr:rowOff>19050</xdr:rowOff>
    </xdr:from>
    <xdr:to>
      <xdr:col>7</xdr:col>
      <xdr:colOff>247649</xdr:colOff>
      <xdr:row>49</xdr:row>
      <xdr:rowOff>174498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xmlns="" id="{F5E6624D-C6CE-4279-A0EA-880F00DD76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9544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17</xdr:row>
      <xdr:rowOff>19050</xdr:rowOff>
    </xdr:from>
    <xdr:to>
      <xdr:col>7</xdr:col>
      <xdr:colOff>247650</xdr:colOff>
      <xdr:row>17</xdr:row>
      <xdr:rowOff>174498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xmlns="" id="{1ED8E5D1-9E01-4BB1-AE3A-8F90C342B4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3448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33</xdr:row>
      <xdr:rowOff>19050</xdr:rowOff>
    </xdr:from>
    <xdr:to>
      <xdr:col>4</xdr:col>
      <xdr:colOff>1485900</xdr:colOff>
      <xdr:row>33</xdr:row>
      <xdr:rowOff>174498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xmlns="" id="{C41B3F25-ED4E-4862-8283-59F4DD2ACB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6496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48</xdr:row>
      <xdr:rowOff>19050</xdr:rowOff>
    </xdr:from>
    <xdr:to>
      <xdr:col>4</xdr:col>
      <xdr:colOff>1485900</xdr:colOff>
      <xdr:row>48</xdr:row>
      <xdr:rowOff>174498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xmlns="" id="{8305E90C-3ED9-4559-BB6B-4BF7A3A20F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9353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1285875</xdr:colOff>
      <xdr:row>18</xdr:row>
      <xdr:rowOff>19050</xdr:rowOff>
    </xdr:from>
    <xdr:to>
      <xdr:col>4</xdr:col>
      <xdr:colOff>1468755</xdr:colOff>
      <xdr:row>18</xdr:row>
      <xdr:rowOff>174498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xmlns="" id="{761D5085-AC69-4CED-9A1F-B98E49A1A1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6125" y="3638550"/>
          <a:ext cx="18288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1285875</xdr:colOff>
      <xdr:row>34</xdr:row>
      <xdr:rowOff>19050</xdr:rowOff>
    </xdr:from>
    <xdr:to>
      <xdr:col>4</xdr:col>
      <xdr:colOff>1468755</xdr:colOff>
      <xdr:row>34</xdr:row>
      <xdr:rowOff>174498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xmlns="" id="{783D46FA-D932-4677-88DE-22CF7729D3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6125" y="6686550"/>
          <a:ext cx="18288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</xdr:colOff>
      <xdr:row>50</xdr:row>
      <xdr:rowOff>19050</xdr:rowOff>
    </xdr:from>
    <xdr:to>
      <xdr:col>7</xdr:col>
      <xdr:colOff>220980</xdr:colOff>
      <xdr:row>50</xdr:row>
      <xdr:rowOff>174498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xmlns="" id="{B7D835A9-995B-4251-B374-7B0B6EEF23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9734550"/>
          <a:ext cx="18288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18</xdr:row>
      <xdr:rowOff>19050</xdr:rowOff>
    </xdr:from>
    <xdr:to>
      <xdr:col>7</xdr:col>
      <xdr:colOff>247650</xdr:colOff>
      <xdr:row>18</xdr:row>
      <xdr:rowOff>174498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xmlns="" id="{E0AE5A2F-6EE2-4619-B9F1-05C5E8CA3A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3638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</xdr:colOff>
      <xdr:row>35</xdr:row>
      <xdr:rowOff>19050</xdr:rowOff>
    </xdr:from>
    <xdr:to>
      <xdr:col>7</xdr:col>
      <xdr:colOff>252412</xdr:colOff>
      <xdr:row>35</xdr:row>
      <xdr:rowOff>174498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xmlns="" id="{BA2D6FCF-9DD4-489B-A17D-8027937433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0512" y="6877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51</xdr:row>
      <xdr:rowOff>19050</xdr:rowOff>
    </xdr:from>
    <xdr:to>
      <xdr:col>4</xdr:col>
      <xdr:colOff>1485900</xdr:colOff>
      <xdr:row>51</xdr:row>
      <xdr:rowOff>174498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xmlns="" id="{6C059E41-AD5E-41B7-BD6A-26B3047A30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9925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19</xdr:row>
      <xdr:rowOff>19050</xdr:rowOff>
    </xdr:from>
    <xdr:to>
      <xdr:col>4</xdr:col>
      <xdr:colOff>1485900</xdr:colOff>
      <xdr:row>19</xdr:row>
      <xdr:rowOff>174498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xmlns="" id="{7F1C56CC-E6F1-4BAA-BA4D-5D5606B712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3829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34</xdr:row>
      <xdr:rowOff>19050</xdr:rowOff>
    </xdr:from>
    <xdr:to>
      <xdr:col>7</xdr:col>
      <xdr:colOff>247650</xdr:colOff>
      <xdr:row>34</xdr:row>
      <xdr:rowOff>174498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xmlns="" id="{0E9CDE71-448F-4B48-8B86-03EAE9CD3F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6686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51</xdr:row>
      <xdr:rowOff>19050</xdr:rowOff>
    </xdr:from>
    <xdr:to>
      <xdr:col>7</xdr:col>
      <xdr:colOff>247650</xdr:colOff>
      <xdr:row>51</xdr:row>
      <xdr:rowOff>174498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xmlns="" id="{77B82CD8-BF66-4353-8124-2202FB7042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9925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1257301</xdr:colOff>
      <xdr:row>20</xdr:row>
      <xdr:rowOff>19050</xdr:rowOff>
    </xdr:from>
    <xdr:to>
      <xdr:col>4</xdr:col>
      <xdr:colOff>1485901</xdr:colOff>
      <xdr:row>20</xdr:row>
      <xdr:rowOff>174498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xmlns="" id="{03236BD3-06FA-44C5-B296-D2749AA0D2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1" y="4019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1262063</xdr:colOff>
      <xdr:row>36</xdr:row>
      <xdr:rowOff>19050</xdr:rowOff>
    </xdr:from>
    <xdr:to>
      <xdr:col>4</xdr:col>
      <xdr:colOff>1490663</xdr:colOff>
      <xdr:row>36</xdr:row>
      <xdr:rowOff>174498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xmlns="" id="{C9F07DDD-DA56-44A9-BFF5-25506DA09D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3" y="7067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52</xdr:row>
      <xdr:rowOff>19050</xdr:rowOff>
    </xdr:from>
    <xdr:to>
      <xdr:col>7</xdr:col>
      <xdr:colOff>247650</xdr:colOff>
      <xdr:row>52</xdr:row>
      <xdr:rowOff>174498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xmlns="" id="{D075DCC8-DF72-4DA8-8E05-A7E4524E64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10115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23813</xdr:colOff>
      <xdr:row>20</xdr:row>
      <xdr:rowOff>23813</xdr:rowOff>
    </xdr:from>
    <xdr:to>
      <xdr:col>7</xdr:col>
      <xdr:colOff>252413</xdr:colOff>
      <xdr:row>20</xdr:row>
      <xdr:rowOff>179261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386EDEDB-C790-4B9C-B601-30D65C1273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0513" y="402431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</xdr:colOff>
      <xdr:row>37</xdr:row>
      <xdr:rowOff>19050</xdr:rowOff>
    </xdr:from>
    <xdr:to>
      <xdr:col>7</xdr:col>
      <xdr:colOff>252412</xdr:colOff>
      <xdr:row>37</xdr:row>
      <xdr:rowOff>174498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xmlns="" id="{BC212AEE-0C98-44DE-A5C2-921C49961C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0512" y="7258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1257300</xdr:colOff>
      <xdr:row>53</xdr:row>
      <xdr:rowOff>19050</xdr:rowOff>
    </xdr:from>
    <xdr:to>
      <xdr:col>4</xdr:col>
      <xdr:colOff>1485900</xdr:colOff>
      <xdr:row>53</xdr:row>
      <xdr:rowOff>174498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xmlns="" id="{118DACD7-BAFA-4CC4-9694-CFD014FE8A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10306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1262063</xdr:colOff>
      <xdr:row>21</xdr:row>
      <xdr:rowOff>23813</xdr:rowOff>
    </xdr:from>
    <xdr:to>
      <xdr:col>4</xdr:col>
      <xdr:colOff>1490663</xdr:colOff>
      <xdr:row>21</xdr:row>
      <xdr:rowOff>179261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204C9863-1D5F-4EF0-88D3-D28A0BD964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3" y="421481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23813</xdr:colOff>
      <xdr:row>36</xdr:row>
      <xdr:rowOff>23813</xdr:rowOff>
    </xdr:from>
    <xdr:to>
      <xdr:col>7</xdr:col>
      <xdr:colOff>252413</xdr:colOff>
      <xdr:row>36</xdr:row>
      <xdr:rowOff>179261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xmlns="" id="{EA29762E-6A19-4AF6-B954-D683CEE32E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0513" y="7072313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53</xdr:row>
      <xdr:rowOff>19050</xdr:rowOff>
    </xdr:from>
    <xdr:to>
      <xdr:col>7</xdr:col>
      <xdr:colOff>247650</xdr:colOff>
      <xdr:row>53</xdr:row>
      <xdr:rowOff>174498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xmlns="" id="{0D16448A-B33C-4535-8A78-36B0E518B1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10306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21</xdr:row>
      <xdr:rowOff>19050</xdr:rowOff>
    </xdr:from>
    <xdr:to>
      <xdr:col>7</xdr:col>
      <xdr:colOff>247650</xdr:colOff>
      <xdr:row>21</xdr:row>
      <xdr:rowOff>174498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xmlns="" id="{18FBDACA-08EA-4786-B95D-5EA28C84BF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4210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1262062</xdr:colOff>
      <xdr:row>37</xdr:row>
      <xdr:rowOff>19050</xdr:rowOff>
    </xdr:from>
    <xdr:to>
      <xdr:col>4</xdr:col>
      <xdr:colOff>1490662</xdr:colOff>
      <xdr:row>37</xdr:row>
      <xdr:rowOff>174498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xmlns="" id="{BC79F0CD-E530-4D2C-9A0E-6EFD551E07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7258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1262062</xdr:colOff>
      <xdr:row>52</xdr:row>
      <xdr:rowOff>19050</xdr:rowOff>
    </xdr:from>
    <xdr:to>
      <xdr:col>4</xdr:col>
      <xdr:colOff>1490662</xdr:colOff>
      <xdr:row>52</xdr:row>
      <xdr:rowOff>174498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xmlns="" id="{E6A06AE1-0FFC-4194-945D-A65E9964C0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10115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7</xdr:col>
      <xdr:colOff>23813</xdr:colOff>
      <xdr:row>19</xdr:row>
      <xdr:rowOff>23812</xdr:rowOff>
    </xdr:from>
    <xdr:to>
      <xdr:col>7</xdr:col>
      <xdr:colOff>252413</xdr:colOff>
      <xdr:row>19</xdr:row>
      <xdr:rowOff>179260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3D7E6438-16FE-436E-B3C5-23BC6D3911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0513" y="3833812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1262062</xdr:colOff>
      <xdr:row>35</xdr:row>
      <xdr:rowOff>19050</xdr:rowOff>
    </xdr:from>
    <xdr:to>
      <xdr:col>4</xdr:col>
      <xdr:colOff>1490662</xdr:colOff>
      <xdr:row>35</xdr:row>
      <xdr:rowOff>174498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xmlns="" id="{55E7E415-E395-4BC5-A843-328CE5C012D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68770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4</xdr:col>
      <xdr:colOff>1257302</xdr:colOff>
      <xdr:row>50</xdr:row>
      <xdr:rowOff>19050</xdr:rowOff>
    </xdr:from>
    <xdr:to>
      <xdr:col>4</xdr:col>
      <xdr:colOff>1485902</xdr:colOff>
      <xdr:row>50</xdr:row>
      <xdr:rowOff>174498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xmlns="" id="{A40246C0-BC20-4BC1-9884-A07D67C7AB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2" y="9734550"/>
          <a:ext cx="228600" cy="155448"/>
        </a:xfrm>
        <a:prstGeom prst="rect">
          <a:avLst/>
        </a:prstGeom>
      </xdr:spPr>
    </xdr:pic>
    <xdr:clientData/>
  </xdr:twoCellAnchor>
  <xdr:twoCellAnchor editAs="oneCell">
    <xdr:from>
      <xdr:col>9</xdr:col>
      <xdr:colOff>171449</xdr:colOff>
      <xdr:row>4</xdr:row>
      <xdr:rowOff>8902</xdr:rowOff>
    </xdr:from>
    <xdr:to>
      <xdr:col>9</xdr:col>
      <xdr:colOff>561585</xdr:colOff>
      <xdr:row>6</xdr:row>
      <xdr:rowOff>9525</xdr:rowOff>
    </xdr:to>
    <xdr:pic>
      <xdr:nvPicPr>
        <xdr:cNvPr id="2" name="Рисунок 1">
          <a:hlinkClick xmlns:r="http://schemas.openxmlformats.org/officeDocument/2006/relationships" r:id="rId33"/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987" y="836844"/>
          <a:ext cx="390136" cy="381623"/>
        </a:xfrm>
        <a:prstGeom prst="rect">
          <a:avLst/>
        </a:prstGeom>
      </xdr:spPr>
    </xdr:pic>
    <xdr:clientData/>
  </xdr:twoCellAnchor>
  <xdr:twoCellAnchor editAs="oneCell">
    <xdr:from>
      <xdr:col>50</xdr:col>
      <xdr:colOff>3595</xdr:colOff>
      <xdr:row>0</xdr:row>
      <xdr:rowOff>18850</xdr:rowOff>
    </xdr:from>
    <xdr:to>
      <xdr:col>51</xdr:col>
      <xdr:colOff>1122099</xdr:colOff>
      <xdr:row>4</xdr:row>
      <xdr:rowOff>171250</xdr:rowOff>
    </xdr:to>
    <xdr:pic>
      <xdr:nvPicPr>
        <xdr:cNvPr id="8" name="Рисунок 7">
          <a:hlinkClick xmlns:r="http://schemas.openxmlformats.org/officeDocument/2006/relationships" r:id="rId35"/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2652" y="18850"/>
          <a:ext cx="1337758" cy="9826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</xdr:colOff>
      <xdr:row>13</xdr:row>
      <xdr:rowOff>28574</xdr:rowOff>
    </xdr:from>
    <xdr:to>
      <xdr:col>3</xdr:col>
      <xdr:colOff>161926</xdr:colOff>
      <xdr:row>20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13</xdr:row>
      <xdr:rowOff>28575</xdr:rowOff>
    </xdr:from>
    <xdr:to>
      <xdr:col>11</xdr:col>
      <xdr:colOff>180974</xdr:colOff>
      <xdr:row>20</xdr:row>
      <xdr:rowOff>19051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38099</xdr:colOff>
      <xdr:row>9</xdr:row>
      <xdr:rowOff>114300</xdr:rowOff>
    </xdr:from>
    <xdr:to>
      <xdr:col>7</xdr:col>
      <xdr:colOff>38100</xdr:colOff>
      <xdr:row>19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9525</xdr:colOff>
      <xdr:row>9</xdr:row>
      <xdr:rowOff>133350</xdr:rowOff>
    </xdr:from>
    <xdr:to>
      <xdr:col>15</xdr:col>
      <xdr:colOff>0</xdr:colOff>
      <xdr:row>19</xdr:row>
      <xdr:rowOff>95250</xdr:rowOff>
    </xdr:to>
    <xdr:graphicFrame macro="">
      <xdr:nvGraphicFramePr>
        <xdr:cNvPr id="5" name="Char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9</xdr:col>
      <xdr:colOff>163187</xdr:colOff>
      <xdr:row>4</xdr:row>
      <xdr:rowOff>33618</xdr:rowOff>
    </xdr:from>
    <xdr:to>
      <xdr:col>9</xdr:col>
      <xdr:colOff>810565</xdr:colOff>
      <xdr:row>8</xdr:row>
      <xdr:rowOff>89646</xdr:rowOff>
    </xdr:to>
    <xdr:pic>
      <xdr:nvPicPr>
        <xdr:cNvPr id="6" name="Рисунок 5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9500" y="1254009"/>
          <a:ext cx="647378" cy="6275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t.me/FutbolTVHD" TargetMode="External"/><Relationship Id="rId1" Type="http://schemas.openxmlformats.org/officeDocument/2006/relationships/hyperlink" Target="https://t.me/xushnudbek" TargetMode="External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t.me/xushnudbe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5"/>
  <sheetViews>
    <sheetView zoomScale="130" zoomScaleNormal="130" workbookViewId="0">
      <pane xSplit="1" ySplit="1" topLeftCell="AI2" activePane="bottomRight" state="frozen"/>
      <selection pane="topRight" activeCell="B1" sqref="B1"/>
      <selection pane="bottomLeft" activeCell="A2" sqref="A2"/>
      <selection pane="bottomRight" activeCell="AN7" sqref="AN7"/>
    </sheetView>
  </sheetViews>
  <sheetFormatPr defaultColWidth="14" defaultRowHeight="15" x14ac:dyDescent="0.25"/>
  <cols>
    <col min="1" max="1" width="14" style="78"/>
  </cols>
  <sheetData>
    <row r="1" spans="1:43" x14ac:dyDescent="0.25">
      <c r="A1" s="78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 x14ac:dyDescent="0.25">
      <c r="A2" s="78" t="s">
        <v>2058</v>
      </c>
      <c r="B2" t="s">
        <v>2059</v>
      </c>
      <c r="C2" t="s">
        <v>2060</v>
      </c>
      <c r="D2" t="s">
        <v>2061</v>
      </c>
      <c r="E2" t="s">
        <v>2062</v>
      </c>
      <c r="F2" t="s">
        <v>2063</v>
      </c>
      <c r="G2" t="s">
        <v>2064</v>
      </c>
      <c r="H2" t="s">
        <v>2065</v>
      </c>
      <c r="I2" t="s">
        <v>2066</v>
      </c>
      <c r="J2" t="s">
        <v>2067</v>
      </c>
      <c r="K2" t="s">
        <v>2068</v>
      </c>
      <c r="L2" t="s">
        <v>2069</v>
      </c>
      <c r="M2" t="s">
        <v>2070</v>
      </c>
      <c r="N2" t="s">
        <v>2071</v>
      </c>
      <c r="O2" t="s">
        <v>2072</v>
      </c>
      <c r="P2" t="s">
        <v>2073</v>
      </c>
      <c r="Q2" t="s">
        <v>2074</v>
      </c>
      <c r="R2" t="s">
        <v>2075</v>
      </c>
      <c r="S2" t="s">
        <v>2076</v>
      </c>
      <c r="T2" t="s">
        <v>2077</v>
      </c>
      <c r="U2" t="s">
        <v>2078</v>
      </c>
      <c r="V2" t="s">
        <v>2079</v>
      </c>
      <c r="W2" t="s">
        <v>2080</v>
      </c>
      <c r="X2" t="s">
        <v>2081</v>
      </c>
      <c r="Y2" t="s">
        <v>2082</v>
      </c>
      <c r="Z2" t="s">
        <v>2083</v>
      </c>
      <c r="AA2" t="s">
        <v>2084</v>
      </c>
      <c r="AB2" t="s">
        <v>2085</v>
      </c>
      <c r="AC2" t="s">
        <v>2086</v>
      </c>
      <c r="AD2" t="s">
        <v>2087</v>
      </c>
      <c r="AE2" t="s">
        <v>2088</v>
      </c>
      <c r="AF2" t="s">
        <v>2089</v>
      </c>
      <c r="AG2" t="s">
        <v>2090</v>
      </c>
      <c r="AH2" t="s">
        <v>2091</v>
      </c>
      <c r="AI2" t="s">
        <v>2092</v>
      </c>
      <c r="AJ2" t="s">
        <v>2093</v>
      </c>
      <c r="AK2" t="s">
        <v>2094</v>
      </c>
      <c r="AL2" t="s">
        <v>2095</v>
      </c>
      <c r="AM2" t="s">
        <v>2096</v>
      </c>
      <c r="AN2" t="s">
        <v>2097</v>
      </c>
      <c r="AO2" s="1" t="s">
        <v>2098</v>
      </c>
      <c r="AP2" t="s">
        <v>43</v>
      </c>
      <c r="AQ2" t="s">
        <v>2519</v>
      </c>
    </row>
    <row r="3" spans="1:43" x14ac:dyDescent="0.25">
      <c r="A3" s="78" t="s">
        <v>44</v>
      </c>
      <c r="B3" t="s">
        <v>45</v>
      </c>
      <c r="C3" t="s">
        <v>46</v>
      </c>
      <c r="D3" t="s">
        <v>47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 t="s">
        <v>53</v>
      </c>
      <c r="K3" t="s">
        <v>54</v>
      </c>
      <c r="L3" t="s">
        <v>55</v>
      </c>
      <c r="M3" t="s">
        <v>56</v>
      </c>
      <c r="N3" t="s">
        <v>57</v>
      </c>
      <c r="O3" t="s">
        <v>58</v>
      </c>
      <c r="P3" t="s">
        <v>59</v>
      </c>
      <c r="Q3" t="s">
        <v>60</v>
      </c>
      <c r="R3" t="s">
        <v>61</v>
      </c>
      <c r="S3" t="s">
        <v>62</v>
      </c>
      <c r="T3" t="s">
        <v>63</v>
      </c>
      <c r="U3" t="s">
        <v>64</v>
      </c>
      <c r="V3" t="s">
        <v>65</v>
      </c>
      <c r="W3" t="s">
        <v>66</v>
      </c>
      <c r="X3" t="s">
        <v>67</v>
      </c>
      <c r="Y3" t="s">
        <v>68</v>
      </c>
      <c r="Z3" t="s">
        <v>69</v>
      </c>
      <c r="AA3" t="s">
        <v>70</v>
      </c>
      <c r="AB3" t="s">
        <v>71</v>
      </c>
      <c r="AC3" t="s">
        <v>72</v>
      </c>
      <c r="AD3" t="s">
        <v>73</v>
      </c>
      <c r="AE3" t="s">
        <v>74</v>
      </c>
      <c r="AF3" t="s">
        <v>75</v>
      </c>
      <c r="AG3" t="s">
        <v>76</v>
      </c>
      <c r="AH3" t="s">
        <v>77</v>
      </c>
      <c r="AI3" t="s">
        <v>78</v>
      </c>
      <c r="AJ3" t="s">
        <v>73</v>
      </c>
      <c r="AK3" t="s">
        <v>79</v>
      </c>
      <c r="AL3" t="s">
        <v>80</v>
      </c>
      <c r="AM3" t="s">
        <v>81</v>
      </c>
      <c r="AN3" t="s">
        <v>82</v>
      </c>
      <c r="AO3" t="s">
        <v>83</v>
      </c>
      <c r="AP3" t="s">
        <v>84</v>
      </c>
      <c r="AQ3" t="s">
        <v>2520</v>
      </c>
    </row>
    <row r="4" spans="1:43" x14ac:dyDescent="0.25">
      <c r="A4" s="78" t="s">
        <v>85</v>
      </c>
      <c r="B4" t="s">
        <v>86</v>
      </c>
      <c r="C4" t="s">
        <v>87</v>
      </c>
      <c r="D4" t="s">
        <v>88</v>
      </c>
      <c r="E4" t="s">
        <v>89</v>
      </c>
      <c r="F4" t="s">
        <v>90</v>
      </c>
      <c r="G4" t="s">
        <v>91</v>
      </c>
      <c r="H4" t="s">
        <v>92</v>
      </c>
      <c r="I4" t="s">
        <v>93</v>
      </c>
      <c r="J4" t="s">
        <v>94</v>
      </c>
      <c r="K4" t="s">
        <v>95</v>
      </c>
      <c r="L4" t="s">
        <v>96</v>
      </c>
      <c r="M4" t="s">
        <v>97</v>
      </c>
      <c r="N4" t="s">
        <v>98</v>
      </c>
      <c r="O4" t="s">
        <v>99</v>
      </c>
      <c r="P4" t="s">
        <v>100</v>
      </c>
      <c r="Q4" t="s">
        <v>101</v>
      </c>
      <c r="R4" t="s">
        <v>102</v>
      </c>
      <c r="S4" t="s">
        <v>103</v>
      </c>
      <c r="T4" t="s">
        <v>104</v>
      </c>
      <c r="U4" t="s">
        <v>105</v>
      </c>
      <c r="V4" t="s">
        <v>106</v>
      </c>
      <c r="W4" t="s">
        <v>107</v>
      </c>
      <c r="X4" t="s">
        <v>108</v>
      </c>
      <c r="Y4" t="s">
        <v>109</v>
      </c>
      <c r="Z4" t="s">
        <v>110</v>
      </c>
      <c r="AA4" t="s">
        <v>111</v>
      </c>
      <c r="AB4" t="s">
        <v>112</v>
      </c>
      <c r="AC4" t="s">
        <v>113</v>
      </c>
      <c r="AD4" t="s">
        <v>114</v>
      </c>
      <c r="AE4" t="s">
        <v>115</v>
      </c>
      <c r="AF4" t="s">
        <v>116</v>
      </c>
      <c r="AG4" t="s">
        <v>117</v>
      </c>
      <c r="AH4" t="s">
        <v>118</v>
      </c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 t="s">
        <v>124</v>
      </c>
      <c r="AO4" t="s">
        <v>125</v>
      </c>
      <c r="AP4" t="s">
        <v>126</v>
      </c>
      <c r="AQ4" t="s">
        <v>2521</v>
      </c>
    </row>
    <row r="5" spans="1:43" x14ac:dyDescent="0.25">
      <c r="A5" s="78" t="s">
        <v>127</v>
      </c>
      <c r="B5" t="s">
        <v>128</v>
      </c>
      <c r="C5" t="s">
        <v>129</v>
      </c>
      <c r="D5" t="s">
        <v>130</v>
      </c>
      <c r="E5" t="s">
        <v>131</v>
      </c>
      <c r="F5" t="s">
        <v>132</v>
      </c>
      <c r="G5" t="s">
        <v>133</v>
      </c>
      <c r="H5" t="s">
        <v>134</v>
      </c>
      <c r="I5" t="s">
        <v>135</v>
      </c>
      <c r="J5" t="s">
        <v>136</v>
      </c>
      <c r="K5" t="s">
        <v>137</v>
      </c>
      <c r="L5" t="s">
        <v>138</v>
      </c>
      <c r="M5" t="s">
        <v>139</v>
      </c>
      <c r="N5" t="s">
        <v>140</v>
      </c>
      <c r="O5" t="s">
        <v>141</v>
      </c>
      <c r="P5" t="s">
        <v>142</v>
      </c>
      <c r="Q5" t="s">
        <v>143</v>
      </c>
      <c r="R5" t="s">
        <v>144</v>
      </c>
      <c r="S5" t="s">
        <v>145</v>
      </c>
      <c r="T5" t="s">
        <v>146</v>
      </c>
      <c r="U5" t="s">
        <v>147</v>
      </c>
      <c r="V5" t="s">
        <v>148</v>
      </c>
      <c r="W5" t="s">
        <v>149</v>
      </c>
      <c r="X5" t="s">
        <v>150</v>
      </c>
      <c r="Y5" t="s">
        <v>151</v>
      </c>
      <c r="Z5" t="s">
        <v>152</v>
      </c>
      <c r="AA5" t="s">
        <v>138</v>
      </c>
      <c r="AB5" t="s">
        <v>153</v>
      </c>
      <c r="AC5" t="s">
        <v>154</v>
      </c>
      <c r="AD5" t="s">
        <v>155</v>
      </c>
      <c r="AE5" t="s">
        <v>156</v>
      </c>
      <c r="AF5" t="s">
        <v>157</v>
      </c>
      <c r="AG5" t="s">
        <v>136</v>
      </c>
      <c r="AH5" t="s">
        <v>158</v>
      </c>
      <c r="AI5" t="s">
        <v>159</v>
      </c>
      <c r="AJ5" t="s">
        <v>160</v>
      </c>
      <c r="AK5" t="s">
        <v>161</v>
      </c>
      <c r="AL5" t="s">
        <v>162</v>
      </c>
      <c r="AM5" t="s">
        <v>163</v>
      </c>
      <c r="AN5" t="s">
        <v>164</v>
      </c>
      <c r="AO5" t="s">
        <v>165</v>
      </c>
      <c r="AP5" t="s">
        <v>166</v>
      </c>
      <c r="AQ5" t="s">
        <v>2522</v>
      </c>
    </row>
    <row r="6" spans="1:43" x14ac:dyDescent="0.25">
      <c r="A6" s="78" t="s">
        <v>167</v>
      </c>
      <c r="B6" t="s">
        <v>168</v>
      </c>
      <c r="C6" t="s">
        <v>169</v>
      </c>
      <c r="D6" t="s">
        <v>170</v>
      </c>
      <c r="E6" t="s">
        <v>171</v>
      </c>
      <c r="F6" t="s">
        <v>172</v>
      </c>
      <c r="G6" t="s">
        <v>173</v>
      </c>
      <c r="H6" t="s">
        <v>174</v>
      </c>
      <c r="I6" t="s">
        <v>175</v>
      </c>
      <c r="J6" t="s">
        <v>176</v>
      </c>
      <c r="K6" t="s">
        <v>177</v>
      </c>
      <c r="L6" t="s">
        <v>178</v>
      </c>
      <c r="M6" t="s">
        <v>179</v>
      </c>
      <c r="N6" t="s">
        <v>180</v>
      </c>
      <c r="O6" t="s">
        <v>181</v>
      </c>
      <c r="P6" t="s">
        <v>182</v>
      </c>
      <c r="Q6" t="s">
        <v>183</v>
      </c>
      <c r="R6" t="s">
        <v>184</v>
      </c>
      <c r="S6" t="s">
        <v>185</v>
      </c>
      <c r="T6" t="s">
        <v>186</v>
      </c>
      <c r="U6" t="s">
        <v>187</v>
      </c>
      <c r="V6" t="s">
        <v>188</v>
      </c>
      <c r="W6" t="s">
        <v>189</v>
      </c>
      <c r="X6" t="s">
        <v>190</v>
      </c>
      <c r="Y6" t="s">
        <v>191</v>
      </c>
      <c r="Z6" t="s">
        <v>192</v>
      </c>
      <c r="AA6" t="s">
        <v>178</v>
      </c>
      <c r="AB6" t="s">
        <v>193</v>
      </c>
      <c r="AC6" t="s">
        <v>194</v>
      </c>
      <c r="AD6" t="s">
        <v>195</v>
      </c>
      <c r="AE6" t="s">
        <v>178</v>
      </c>
      <c r="AF6" t="s">
        <v>196</v>
      </c>
      <c r="AG6" t="s">
        <v>176</v>
      </c>
      <c r="AH6" t="s">
        <v>177</v>
      </c>
      <c r="AI6" t="s">
        <v>197</v>
      </c>
      <c r="AJ6" t="s">
        <v>198</v>
      </c>
      <c r="AK6" t="s">
        <v>199</v>
      </c>
      <c r="AL6" t="s">
        <v>200</v>
      </c>
      <c r="AM6" t="s">
        <v>201</v>
      </c>
      <c r="AN6" t="s">
        <v>202</v>
      </c>
      <c r="AO6" t="s">
        <v>203</v>
      </c>
      <c r="AP6" t="s">
        <v>204</v>
      </c>
      <c r="AQ6" t="s">
        <v>2523</v>
      </c>
    </row>
    <row r="7" spans="1:43" x14ac:dyDescent="0.25">
      <c r="A7" s="78" t="s">
        <v>205</v>
      </c>
      <c r="B7" t="s">
        <v>206</v>
      </c>
      <c r="C7" t="s">
        <v>207</v>
      </c>
      <c r="D7" t="s">
        <v>208</v>
      </c>
      <c r="E7" t="s">
        <v>209</v>
      </c>
      <c r="F7" t="s">
        <v>210</v>
      </c>
      <c r="G7" t="s">
        <v>211</v>
      </c>
      <c r="H7" t="s">
        <v>212</v>
      </c>
      <c r="I7" t="s">
        <v>213</v>
      </c>
      <c r="J7" t="s">
        <v>214</v>
      </c>
      <c r="K7" t="s">
        <v>215</v>
      </c>
      <c r="L7" t="s">
        <v>216</v>
      </c>
      <c r="M7" t="s">
        <v>217</v>
      </c>
      <c r="N7" t="s">
        <v>218</v>
      </c>
      <c r="O7" t="s">
        <v>219</v>
      </c>
      <c r="P7" t="s">
        <v>220</v>
      </c>
      <c r="Q7" t="s">
        <v>221</v>
      </c>
      <c r="R7" t="s">
        <v>222</v>
      </c>
      <c r="S7" t="s">
        <v>223</v>
      </c>
      <c r="T7" t="s">
        <v>224</v>
      </c>
      <c r="U7" t="s">
        <v>225</v>
      </c>
      <c r="V7" t="s">
        <v>226</v>
      </c>
      <c r="W7" t="s">
        <v>227</v>
      </c>
      <c r="X7" t="s">
        <v>228</v>
      </c>
      <c r="Y7" t="s">
        <v>229</v>
      </c>
      <c r="Z7" t="s">
        <v>230</v>
      </c>
      <c r="AA7" t="s">
        <v>231</v>
      </c>
      <c r="AB7" t="s">
        <v>232</v>
      </c>
      <c r="AC7" t="s">
        <v>233</v>
      </c>
      <c r="AD7" t="s">
        <v>234</v>
      </c>
      <c r="AE7" t="s">
        <v>235</v>
      </c>
      <c r="AF7" t="s">
        <v>236</v>
      </c>
      <c r="AG7" t="s">
        <v>214</v>
      </c>
      <c r="AH7" t="s">
        <v>237</v>
      </c>
      <c r="AI7" t="s">
        <v>238</v>
      </c>
      <c r="AJ7" t="s">
        <v>239</v>
      </c>
      <c r="AK7" t="s">
        <v>240</v>
      </c>
      <c r="AL7" t="s">
        <v>241</v>
      </c>
      <c r="AM7" t="s">
        <v>242</v>
      </c>
      <c r="AN7" t="s">
        <v>243</v>
      </c>
      <c r="AO7" t="s">
        <v>244</v>
      </c>
      <c r="AP7" t="s">
        <v>245</v>
      </c>
      <c r="AQ7" t="s">
        <v>2524</v>
      </c>
    </row>
    <row r="8" spans="1:43" x14ac:dyDescent="0.25">
      <c r="A8" s="78" t="s">
        <v>246</v>
      </c>
      <c r="B8" t="s">
        <v>247</v>
      </c>
      <c r="C8" t="s">
        <v>248</v>
      </c>
      <c r="D8" t="s">
        <v>249</v>
      </c>
      <c r="E8" t="s">
        <v>246</v>
      </c>
      <c r="F8" t="s">
        <v>250</v>
      </c>
      <c r="G8" t="s">
        <v>246</v>
      </c>
      <c r="H8" t="s">
        <v>251</v>
      </c>
      <c r="I8" t="s">
        <v>252</v>
      </c>
      <c r="J8" t="s">
        <v>253</v>
      </c>
      <c r="K8" t="s">
        <v>254</v>
      </c>
      <c r="L8" t="s">
        <v>253</v>
      </c>
      <c r="M8" t="s">
        <v>253</v>
      </c>
      <c r="N8" t="s">
        <v>253</v>
      </c>
      <c r="O8" t="s">
        <v>255</v>
      </c>
      <c r="P8" t="s">
        <v>253</v>
      </c>
      <c r="Q8" t="s">
        <v>256</v>
      </c>
      <c r="R8" t="s">
        <v>257</v>
      </c>
      <c r="S8" t="s">
        <v>258</v>
      </c>
      <c r="T8" t="s">
        <v>246</v>
      </c>
      <c r="U8" t="s">
        <v>259</v>
      </c>
      <c r="V8" t="s">
        <v>253</v>
      </c>
      <c r="W8" t="s">
        <v>260</v>
      </c>
      <c r="X8" t="s">
        <v>261</v>
      </c>
      <c r="Y8" t="s">
        <v>262</v>
      </c>
      <c r="Z8" t="s">
        <v>263</v>
      </c>
      <c r="AA8" t="s">
        <v>253</v>
      </c>
      <c r="AB8" t="s">
        <v>264</v>
      </c>
      <c r="AC8" t="s">
        <v>265</v>
      </c>
      <c r="AD8" t="s">
        <v>246</v>
      </c>
      <c r="AE8" t="s">
        <v>266</v>
      </c>
      <c r="AF8" t="s">
        <v>250</v>
      </c>
      <c r="AG8" t="s">
        <v>253</v>
      </c>
      <c r="AH8" t="s">
        <v>254</v>
      </c>
      <c r="AI8" t="s">
        <v>253</v>
      </c>
      <c r="AJ8" t="s">
        <v>246</v>
      </c>
      <c r="AK8" t="s">
        <v>246</v>
      </c>
      <c r="AL8" t="s">
        <v>267</v>
      </c>
      <c r="AM8" t="s">
        <v>246</v>
      </c>
      <c r="AN8" t="s">
        <v>268</v>
      </c>
      <c r="AO8" t="s">
        <v>269</v>
      </c>
      <c r="AP8" t="s">
        <v>270</v>
      </c>
      <c r="AQ8" t="s">
        <v>2525</v>
      </c>
    </row>
    <row r="9" spans="1:43" x14ac:dyDescent="0.25">
      <c r="A9" s="78" t="s">
        <v>271</v>
      </c>
      <c r="B9" t="s">
        <v>272</v>
      </c>
      <c r="C9" t="s">
        <v>273</v>
      </c>
      <c r="D9" t="s">
        <v>274</v>
      </c>
      <c r="E9" t="s">
        <v>275</v>
      </c>
      <c r="F9" t="s">
        <v>276</v>
      </c>
      <c r="G9" t="s">
        <v>277</v>
      </c>
      <c r="H9" t="s">
        <v>278</v>
      </c>
      <c r="I9" t="s">
        <v>279</v>
      </c>
      <c r="J9" t="s">
        <v>280</v>
      </c>
      <c r="K9" t="s">
        <v>281</v>
      </c>
      <c r="L9" t="s">
        <v>282</v>
      </c>
      <c r="M9" t="s">
        <v>283</v>
      </c>
      <c r="N9" t="s">
        <v>284</v>
      </c>
      <c r="O9" t="s">
        <v>285</v>
      </c>
      <c r="P9" t="s">
        <v>282</v>
      </c>
      <c r="Q9" t="s">
        <v>286</v>
      </c>
      <c r="R9" t="s">
        <v>287</v>
      </c>
      <c r="S9" t="s">
        <v>288</v>
      </c>
      <c r="T9" t="s">
        <v>289</v>
      </c>
      <c r="U9" t="s">
        <v>290</v>
      </c>
      <c r="V9" t="s">
        <v>291</v>
      </c>
      <c r="W9" t="s">
        <v>292</v>
      </c>
      <c r="X9" t="s">
        <v>293</v>
      </c>
      <c r="Y9" t="s">
        <v>276</v>
      </c>
      <c r="Z9" t="s">
        <v>294</v>
      </c>
      <c r="AA9" t="s">
        <v>282</v>
      </c>
      <c r="AB9" t="s">
        <v>295</v>
      </c>
      <c r="AC9" t="s">
        <v>280</v>
      </c>
      <c r="AD9" t="s">
        <v>296</v>
      </c>
      <c r="AE9" t="s">
        <v>280</v>
      </c>
      <c r="AF9" t="s">
        <v>297</v>
      </c>
      <c r="AG9" t="s">
        <v>280</v>
      </c>
      <c r="AH9" t="s">
        <v>281</v>
      </c>
      <c r="AI9" t="s">
        <v>281</v>
      </c>
      <c r="AJ9" t="s">
        <v>296</v>
      </c>
      <c r="AK9" t="s">
        <v>294</v>
      </c>
      <c r="AL9" t="s">
        <v>298</v>
      </c>
      <c r="AM9" t="s">
        <v>277</v>
      </c>
      <c r="AN9" t="s">
        <v>299</v>
      </c>
      <c r="AO9" t="s">
        <v>276</v>
      </c>
      <c r="AP9" t="s">
        <v>84</v>
      </c>
      <c r="AQ9" t="s">
        <v>2526</v>
      </c>
    </row>
    <row r="10" spans="1:43" x14ac:dyDescent="0.25">
      <c r="A10" s="78" t="s">
        <v>300</v>
      </c>
      <c r="B10" t="s">
        <v>301</v>
      </c>
      <c r="C10" t="s">
        <v>302</v>
      </c>
      <c r="D10" t="s">
        <v>303</v>
      </c>
      <c r="E10" t="s">
        <v>304</v>
      </c>
      <c r="F10" t="s">
        <v>305</v>
      </c>
      <c r="G10" t="s">
        <v>306</v>
      </c>
      <c r="H10" t="s">
        <v>307</v>
      </c>
      <c r="I10" t="s">
        <v>308</v>
      </c>
      <c r="J10" t="s">
        <v>300</v>
      </c>
      <c r="K10" t="s">
        <v>309</v>
      </c>
      <c r="L10" t="s">
        <v>310</v>
      </c>
      <c r="M10" t="s">
        <v>311</v>
      </c>
      <c r="N10" t="s">
        <v>306</v>
      </c>
      <c r="O10" t="s">
        <v>312</v>
      </c>
      <c r="P10" t="s">
        <v>310</v>
      </c>
      <c r="Q10" t="s">
        <v>313</v>
      </c>
      <c r="R10" t="s">
        <v>314</v>
      </c>
      <c r="S10" t="s">
        <v>315</v>
      </c>
      <c r="T10" t="s">
        <v>316</v>
      </c>
      <c r="U10" t="s">
        <v>301</v>
      </c>
      <c r="V10" t="s">
        <v>317</v>
      </c>
      <c r="W10" t="s">
        <v>318</v>
      </c>
      <c r="X10" t="s">
        <v>319</v>
      </c>
      <c r="Y10" t="s">
        <v>320</v>
      </c>
      <c r="Z10" t="s">
        <v>301</v>
      </c>
      <c r="AA10" t="s">
        <v>321</v>
      </c>
      <c r="AB10" t="s">
        <v>322</v>
      </c>
      <c r="AC10" t="s">
        <v>315</v>
      </c>
      <c r="AD10" t="s">
        <v>306</v>
      </c>
      <c r="AE10" t="s">
        <v>306</v>
      </c>
      <c r="AF10" t="s">
        <v>323</v>
      </c>
      <c r="AG10" t="s">
        <v>324</v>
      </c>
      <c r="AH10" t="s">
        <v>309</v>
      </c>
      <c r="AI10" t="s">
        <v>300</v>
      </c>
      <c r="AJ10" t="s">
        <v>306</v>
      </c>
      <c r="AK10" t="s">
        <v>325</v>
      </c>
      <c r="AL10" t="s">
        <v>326</v>
      </c>
      <c r="AM10" t="s">
        <v>304</v>
      </c>
      <c r="AN10" t="s">
        <v>327</v>
      </c>
      <c r="AO10" t="s">
        <v>328</v>
      </c>
      <c r="AP10" t="s">
        <v>329</v>
      </c>
      <c r="AQ10" t="s">
        <v>2527</v>
      </c>
    </row>
    <row r="11" spans="1:43" x14ac:dyDescent="0.25">
      <c r="A11" s="78" t="s">
        <v>330</v>
      </c>
      <c r="B11" t="s">
        <v>331</v>
      </c>
      <c r="C11" t="s">
        <v>332</v>
      </c>
      <c r="D11" t="s">
        <v>333</v>
      </c>
      <c r="E11" t="s">
        <v>334</v>
      </c>
      <c r="F11" t="s">
        <v>335</v>
      </c>
      <c r="G11" t="s">
        <v>317</v>
      </c>
      <c r="H11" t="s">
        <v>336</v>
      </c>
      <c r="I11" t="s">
        <v>337</v>
      </c>
      <c r="J11" t="s">
        <v>330</v>
      </c>
      <c r="K11" t="s">
        <v>338</v>
      </c>
      <c r="L11" t="s">
        <v>338</v>
      </c>
      <c r="M11" t="s">
        <v>330</v>
      </c>
      <c r="N11" t="s">
        <v>338</v>
      </c>
      <c r="O11" t="s">
        <v>339</v>
      </c>
      <c r="P11" t="s">
        <v>321</v>
      </c>
      <c r="Q11" t="s">
        <v>340</v>
      </c>
      <c r="R11" t="s">
        <v>341</v>
      </c>
      <c r="S11" t="s">
        <v>342</v>
      </c>
      <c r="T11" t="s">
        <v>343</v>
      </c>
      <c r="U11" t="s">
        <v>344</v>
      </c>
      <c r="V11" t="s">
        <v>338</v>
      </c>
      <c r="W11" t="s">
        <v>345</v>
      </c>
      <c r="X11" t="s">
        <v>301</v>
      </c>
      <c r="Y11" t="s">
        <v>335</v>
      </c>
      <c r="Z11" t="s">
        <v>346</v>
      </c>
      <c r="AA11" t="s">
        <v>338</v>
      </c>
      <c r="AB11" t="s">
        <v>347</v>
      </c>
      <c r="AC11" t="s">
        <v>309</v>
      </c>
      <c r="AD11" t="s">
        <v>338</v>
      </c>
      <c r="AE11" t="s">
        <v>338</v>
      </c>
      <c r="AF11" t="s">
        <v>348</v>
      </c>
      <c r="AG11" t="s">
        <v>349</v>
      </c>
      <c r="AH11" t="s">
        <v>338</v>
      </c>
      <c r="AI11" t="s">
        <v>330</v>
      </c>
      <c r="AJ11" t="s">
        <v>317</v>
      </c>
      <c r="AK11" t="s">
        <v>338</v>
      </c>
      <c r="AL11" t="s">
        <v>350</v>
      </c>
      <c r="AM11" t="s">
        <v>317</v>
      </c>
      <c r="AN11" t="s">
        <v>351</v>
      </c>
      <c r="AO11" t="s">
        <v>348</v>
      </c>
      <c r="AP11" t="s">
        <v>352</v>
      </c>
      <c r="AQ11" t="s">
        <v>2528</v>
      </c>
    </row>
    <row r="12" spans="1:43" x14ac:dyDescent="0.25">
      <c r="A12" s="78" t="s">
        <v>353</v>
      </c>
      <c r="B12" t="s">
        <v>354</v>
      </c>
      <c r="C12" t="s">
        <v>355</v>
      </c>
      <c r="D12" t="s">
        <v>356</v>
      </c>
      <c r="E12" t="s">
        <v>357</v>
      </c>
      <c r="F12" t="s">
        <v>358</v>
      </c>
      <c r="G12" t="s">
        <v>359</v>
      </c>
      <c r="H12" t="s">
        <v>360</v>
      </c>
      <c r="I12" t="s">
        <v>361</v>
      </c>
      <c r="J12" t="s">
        <v>353</v>
      </c>
      <c r="K12" t="s">
        <v>346</v>
      </c>
      <c r="L12" t="s">
        <v>362</v>
      </c>
      <c r="M12" t="s">
        <v>317</v>
      </c>
      <c r="N12" t="s">
        <v>353</v>
      </c>
      <c r="O12" t="s">
        <v>363</v>
      </c>
      <c r="P12" t="s">
        <v>353</v>
      </c>
      <c r="Q12" t="s">
        <v>364</v>
      </c>
      <c r="R12" t="s">
        <v>365</v>
      </c>
      <c r="S12" t="s">
        <v>366</v>
      </c>
      <c r="T12" t="s">
        <v>367</v>
      </c>
      <c r="U12" t="s">
        <v>368</v>
      </c>
      <c r="V12" t="s">
        <v>349</v>
      </c>
      <c r="W12" t="s">
        <v>369</v>
      </c>
      <c r="X12" t="s">
        <v>370</v>
      </c>
      <c r="Y12" t="s">
        <v>371</v>
      </c>
      <c r="Z12" t="s">
        <v>372</v>
      </c>
      <c r="AA12" t="s">
        <v>351</v>
      </c>
      <c r="AB12" t="s">
        <v>373</v>
      </c>
      <c r="AC12" t="s">
        <v>346</v>
      </c>
      <c r="AD12" t="s">
        <v>359</v>
      </c>
      <c r="AE12" t="s">
        <v>359</v>
      </c>
      <c r="AF12" t="s">
        <v>371</v>
      </c>
      <c r="AG12" t="s">
        <v>374</v>
      </c>
      <c r="AH12" t="s">
        <v>346</v>
      </c>
      <c r="AI12" t="s">
        <v>353</v>
      </c>
      <c r="AJ12" t="s">
        <v>353</v>
      </c>
      <c r="AK12" t="s">
        <v>304</v>
      </c>
      <c r="AL12" t="s">
        <v>375</v>
      </c>
      <c r="AM12" t="s">
        <v>376</v>
      </c>
      <c r="AN12" t="s">
        <v>357</v>
      </c>
      <c r="AO12" t="s">
        <v>371</v>
      </c>
      <c r="AP12" t="s">
        <v>377</v>
      </c>
      <c r="AQ12" t="s">
        <v>366</v>
      </c>
    </row>
    <row r="13" spans="1:43" x14ac:dyDescent="0.25">
      <c r="A13" s="78" t="s">
        <v>301</v>
      </c>
      <c r="B13" t="s">
        <v>357</v>
      </c>
      <c r="C13" t="s">
        <v>378</v>
      </c>
      <c r="D13" t="s">
        <v>379</v>
      </c>
      <c r="E13" t="s">
        <v>315</v>
      </c>
      <c r="F13" t="s">
        <v>380</v>
      </c>
      <c r="G13" t="s">
        <v>349</v>
      </c>
      <c r="H13" t="s">
        <v>381</v>
      </c>
      <c r="I13" t="s">
        <v>382</v>
      </c>
      <c r="J13" t="s">
        <v>301</v>
      </c>
      <c r="K13" t="s">
        <v>349</v>
      </c>
      <c r="L13" t="s">
        <v>351</v>
      </c>
      <c r="M13" t="s">
        <v>338</v>
      </c>
      <c r="N13" t="s">
        <v>366</v>
      </c>
      <c r="O13" t="s">
        <v>383</v>
      </c>
      <c r="P13" t="s">
        <v>384</v>
      </c>
      <c r="Q13" t="s">
        <v>385</v>
      </c>
      <c r="R13" t="s">
        <v>386</v>
      </c>
      <c r="S13" t="s">
        <v>338</v>
      </c>
      <c r="T13" t="s">
        <v>387</v>
      </c>
      <c r="U13" t="s">
        <v>351</v>
      </c>
      <c r="V13" t="s">
        <v>321</v>
      </c>
      <c r="W13" t="s">
        <v>388</v>
      </c>
      <c r="X13" t="s">
        <v>349</v>
      </c>
      <c r="Y13" t="s">
        <v>323</v>
      </c>
      <c r="Z13" t="s">
        <v>351</v>
      </c>
      <c r="AA13" t="s">
        <v>344</v>
      </c>
      <c r="AB13" t="s">
        <v>389</v>
      </c>
      <c r="AC13" t="s">
        <v>349</v>
      </c>
      <c r="AD13" t="s">
        <v>366</v>
      </c>
      <c r="AE13" t="s">
        <v>372</v>
      </c>
      <c r="AF13" t="s">
        <v>335</v>
      </c>
      <c r="AG13" t="s">
        <v>372</v>
      </c>
      <c r="AH13" t="s">
        <v>349</v>
      </c>
      <c r="AI13" t="s">
        <v>301</v>
      </c>
      <c r="AJ13" t="s">
        <v>349</v>
      </c>
      <c r="AK13" t="s">
        <v>331</v>
      </c>
      <c r="AL13" t="s">
        <v>390</v>
      </c>
      <c r="AM13" t="s">
        <v>315</v>
      </c>
      <c r="AN13" t="s">
        <v>376</v>
      </c>
      <c r="AO13" t="s">
        <v>335</v>
      </c>
      <c r="AP13" t="s">
        <v>391</v>
      </c>
      <c r="AQ13" t="s">
        <v>315</v>
      </c>
    </row>
    <row r="14" spans="1:43" x14ac:dyDescent="0.25">
      <c r="A14" s="78" t="s">
        <v>392</v>
      </c>
      <c r="B14" t="s">
        <v>393</v>
      </c>
      <c r="C14" t="s">
        <v>394</v>
      </c>
      <c r="D14" t="s">
        <v>395</v>
      </c>
      <c r="E14" t="s">
        <v>396</v>
      </c>
      <c r="F14" t="s">
        <v>397</v>
      </c>
      <c r="G14" t="s">
        <v>398</v>
      </c>
      <c r="H14" t="s">
        <v>399</v>
      </c>
      <c r="I14" t="s">
        <v>400</v>
      </c>
      <c r="J14" t="s">
        <v>392</v>
      </c>
      <c r="K14" t="s">
        <v>401</v>
      </c>
      <c r="L14" t="s">
        <v>402</v>
      </c>
      <c r="M14" t="s">
        <v>403</v>
      </c>
      <c r="N14" t="s">
        <v>404</v>
      </c>
      <c r="O14" t="s">
        <v>405</v>
      </c>
      <c r="P14" t="s">
        <v>406</v>
      </c>
      <c r="Q14" t="s">
        <v>407</v>
      </c>
      <c r="R14" t="s">
        <v>408</v>
      </c>
      <c r="S14" t="s">
        <v>409</v>
      </c>
      <c r="T14" t="s">
        <v>410</v>
      </c>
      <c r="U14" t="s">
        <v>411</v>
      </c>
      <c r="V14" t="s">
        <v>412</v>
      </c>
      <c r="W14" t="s">
        <v>413</v>
      </c>
      <c r="X14" t="s">
        <v>414</v>
      </c>
      <c r="Y14" t="s">
        <v>415</v>
      </c>
      <c r="Z14" t="s">
        <v>416</v>
      </c>
      <c r="AA14" t="s">
        <v>417</v>
      </c>
      <c r="AB14" t="s">
        <v>418</v>
      </c>
      <c r="AC14" t="s">
        <v>419</v>
      </c>
      <c r="AD14" t="s">
        <v>420</v>
      </c>
      <c r="AE14" t="s">
        <v>421</v>
      </c>
      <c r="AF14" t="s">
        <v>422</v>
      </c>
      <c r="AG14" t="s">
        <v>423</v>
      </c>
      <c r="AH14" t="s">
        <v>424</v>
      </c>
      <c r="AI14" t="s">
        <v>392</v>
      </c>
      <c r="AJ14" t="s">
        <v>398</v>
      </c>
      <c r="AK14" t="s">
        <v>425</v>
      </c>
      <c r="AL14" t="s">
        <v>426</v>
      </c>
      <c r="AM14" t="s">
        <v>427</v>
      </c>
      <c r="AN14" t="s">
        <v>428</v>
      </c>
      <c r="AO14" t="s">
        <v>429</v>
      </c>
      <c r="AP14" t="s">
        <v>430</v>
      </c>
      <c r="AQ14" t="s">
        <v>2577</v>
      </c>
    </row>
    <row r="15" spans="1:43" x14ac:dyDescent="0.25">
      <c r="A15" s="78" t="s">
        <v>431</v>
      </c>
      <c r="B15" t="s">
        <v>432</v>
      </c>
      <c r="C15" t="s">
        <v>433</v>
      </c>
      <c r="D15" t="s">
        <v>434</v>
      </c>
      <c r="E15" t="s">
        <v>435</v>
      </c>
      <c r="F15" t="s">
        <v>436</v>
      </c>
      <c r="G15" t="s">
        <v>437</v>
      </c>
      <c r="H15" t="s">
        <v>438</v>
      </c>
      <c r="I15" t="s">
        <v>439</v>
      </c>
      <c r="J15" t="s">
        <v>431</v>
      </c>
      <c r="K15" t="s">
        <v>440</v>
      </c>
      <c r="L15" t="s">
        <v>431</v>
      </c>
      <c r="M15" t="s">
        <v>431</v>
      </c>
      <c r="N15" t="s">
        <v>441</v>
      </c>
      <c r="O15" t="s">
        <v>442</v>
      </c>
      <c r="P15" t="s">
        <v>443</v>
      </c>
      <c r="Q15" t="s">
        <v>444</v>
      </c>
      <c r="R15" t="s">
        <v>445</v>
      </c>
      <c r="S15" t="s">
        <v>431</v>
      </c>
      <c r="T15" t="s">
        <v>446</v>
      </c>
      <c r="U15" t="s">
        <v>447</v>
      </c>
      <c r="V15" t="s">
        <v>448</v>
      </c>
      <c r="W15" t="s">
        <v>449</v>
      </c>
      <c r="X15" t="s">
        <v>450</v>
      </c>
      <c r="Y15" t="s">
        <v>451</v>
      </c>
      <c r="Z15" t="s">
        <v>349</v>
      </c>
      <c r="AA15" t="s">
        <v>349</v>
      </c>
      <c r="AB15" t="s">
        <v>452</v>
      </c>
      <c r="AC15" t="s">
        <v>453</v>
      </c>
      <c r="AD15" t="s">
        <v>349</v>
      </c>
      <c r="AE15" t="s">
        <v>349</v>
      </c>
      <c r="AF15" t="s">
        <v>454</v>
      </c>
      <c r="AG15" t="s">
        <v>455</v>
      </c>
      <c r="AH15" t="s">
        <v>440</v>
      </c>
      <c r="AI15" t="s">
        <v>431</v>
      </c>
      <c r="AJ15" t="s">
        <v>441</v>
      </c>
      <c r="AK15" t="s">
        <v>349</v>
      </c>
      <c r="AL15" t="s">
        <v>456</v>
      </c>
      <c r="AM15" t="s">
        <v>349</v>
      </c>
      <c r="AN15" t="s">
        <v>457</v>
      </c>
      <c r="AO15" t="s">
        <v>320</v>
      </c>
      <c r="AP15" t="s">
        <v>458</v>
      </c>
      <c r="AQ15" t="s">
        <v>2576</v>
      </c>
    </row>
    <row r="18" spans="1:43" x14ac:dyDescent="0.25">
      <c r="A18" s="78" t="s">
        <v>459</v>
      </c>
      <c r="B18" t="s">
        <v>460</v>
      </c>
      <c r="C18" t="s">
        <v>461</v>
      </c>
      <c r="D18" t="s">
        <v>462</v>
      </c>
      <c r="E18" t="s">
        <v>376</v>
      </c>
      <c r="F18" t="s">
        <v>463</v>
      </c>
      <c r="G18" t="s">
        <v>464</v>
      </c>
      <c r="H18" t="s">
        <v>465</v>
      </c>
      <c r="I18" t="s">
        <v>459</v>
      </c>
      <c r="J18" t="s">
        <v>466</v>
      </c>
      <c r="K18" t="s">
        <v>467</v>
      </c>
      <c r="L18" t="s">
        <v>468</v>
      </c>
      <c r="M18" t="s">
        <v>469</v>
      </c>
      <c r="N18" t="s">
        <v>459</v>
      </c>
      <c r="O18" t="s">
        <v>470</v>
      </c>
      <c r="P18" t="s">
        <v>459</v>
      </c>
      <c r="Q18" t="s">
        <v>471</v>
      </c>
      <c r="R18" t="s">
        <v>472</v>
      </c>
      <c r="S18" t="s">
        <v>473</v>
      </c>
      <c r="T18" t="s">
        <v>474</v>
      </c>
      <c r="U18" t="s">
        <v>459</v>
      </c>
      <c r="V18" t="s">
        <v>475</v>
      </c>
      <c r="W18" t="s">
        <v>476</v>
      </c>
      <c r="X18" t="s">
        <v>477</v>
      </c>
      <c r="Y18" t="s">
        <v>463</v>
      </c>
      <c r="Z18" t="s">
        <v>478</v>
      </c>
      <c r="AA18" t="s">
        <v>468</v>
      </c>
      <c r="AB18" t="s">
        <v>479</v>
      </c>
      <c r="AC18" t="s">
        <v>480</v>
      </c>
      <c r="AD18" t="s">
        <v>475</v>
      </c>
      <c r="AE18" t="s">
        <v>481</v>
      </c>
      <c r="AF18" t="s">
        <v>482</v>
      </c>
      <c r="AG18" t="s">
        <v>466</v>
      </c>
      <c r="AH18" t="s">
        <v>467</v>
      </c>
      <c r="AI18" t="s">
        <v>466</v>
      </c>
      <c r="AJ18" t="s">
        <v>459</v>
      </c>
      <c r="AK18" t="s">
        <v>483</v>
      </c>
      <c r="AL18" t="s">
        <v>484</v>
      </c>
      <c r="AM18" t="s">
        <v>485</v>
      </c>
      <c r="AN18" t="s">
        <v>486</v>
      </c>
      <c r="AO18" t="s">
        <v>487</v>
      </c>
      <c r="AP18" t="s">
        <v>488</v>
      </c>
      <c r="AQ18" t="s">
        <v>2530</v>
      </c>
    </row>
    <row r="19" spans="1:43" x14ac:dyDescent="0.25">
      <c r="A19" s="78" t="s">
        <v>489</v>
      </c>
      <c r="B19" t="s">
        <v>490</v>
      </c>
      <c r="C19" t="s">
        <v>491</v>
      </c>
      <c r="D19" t="s">
        <v>492</v>
      </c>
      <c r="E19" t="s">
        <v>493</v>
      </c>
      <c r="F19" t="s">
        <v>494</v>
      </c>
      <c r="G19" t="s">
        <v>495</v>
      </c>
      <c r="H19" t="s">
        <v>496</v>
      </c>
      <c r="I19" t="s">
        <v>489</v>
      </c>
      <c r="J19" t="s">
        <v>497</v>
      </c>
      <c r="K19" t="s">
        <v>498</v>
      </c>
      <c r="L19" t="s">
        <v>499</v>
      </c>
      <c r="M19" t="s">
        <v>500</v>
      </c>
      <c r="N19" t="s">
        <v>489</v>
      </c>
      <c r="O19" t="s">
        <v>501</v>
      </c>
      <c r="P19" t="s">
        <v>489</v>
      </c>
      <c r="Q19" t="s">
        <v>502</v>
      </c>
      <c r="R19" t="s">
        <v>503</v>
      </c>
      <c r="S19" t="s">
        <v>504</v>
      </c>
      <c r="T19" t="s">
        <v>505</v>
      </c>
      <c r="U19" t="s">
        <v>506</v>
      </c>
      <c r="V19" t="s">
        <v>507</v>
      </c>
      <c r="W19" t="s">
        <v>508</v>
      </c>
      <c r="X19" t="s">
        <v>509</v>
      </c>
      <c r="Y19" t="s">
        <v>494</v>
      </c>
      <c r="Z19" t="s">
        <v>510</v>
      </c>
      <c r="AA19" t="s">
        <v>499</v>
      </c>
      <c r="AB19" t="s">
        <v>511</v>
      </c>
      <c r="AC19" t="s">
        <v>512</v>
      </c>
      <c r="AD19" t="s">
        <v>513</v>
      </c>
      <c r="AE19" t="s">
        <v>507</v>
      </c>
      <c r="AF19" t="s">
        <v>514</v>
      </c>
      <c r="AG19" t="s">
        <v>497</v>
      </c>
      <c r="AH19" t="s">
        <v>498</v>
      </c>
      <c r="AI19" t="s">
        <v>497</v>
      </c>
      <c r="AJ19" t="s">
        <v>489</v>
      </c>
      <c r="AK19" t="s">
        <v>515</v>
      </c>
      <c r="AL19" t="s">
        <v>516</v>
      </c>
      <c r="AM19" t="s">
        <v>517</v>
      </c>
      <c r="AN19" t="s">
        <v>518</v>
      </c>
      <c r="AO19" t="s">
        <v>514</v>
      </c>
      <c r="AP19" t="s">
        <v>519</v>
      </c>
      <c r="AQ19" t="s">
        <v>2532</v>
      </c>
    </row>
    <row r="20" spans="1:43" x14ac:dyDescent="0.25">
      <c r="A20" s="78" t="s">
        <v>520</v>
      </c>
      <c r="B20" t="s">
        <v>521</v>
      </c>
      <c r="C20" t="s">
        <v>522</v>
      </c>
      <c r="D20" t="s">
        <v>523</v>
      </c>
      <c r="E20" t="s">
        <v>524</v>
      </c>
      <c r="F20" t="s">
        <v>525</v>
      </c>
      <c r="G20" t="s">
        <v>526</v>
      </c>
      <c r="H20" t="s">
        <v>527</v>
      </c>
      <c r="I20" t="s">
        <v>520</v>
      </c>
      <c r="J20" t="s">
        <v>528</v>
      </c>
      <c r="K20" t="s">
        <v>529</v>
      </c>
      <c r="L20" t="s">
        <v>530</v>
      </c>
      <c r="M20" t="s">
        <v>531</v>
      </c>
      <c r="N20" t="s">
        <v>520</v>
      </c>
      <c r="O20" t="s">
        <v>532</v>
      </c>
      <c r="P20" t="s">
        <v>520</v>
      </c>
      <c r="Q20" t="s">
        <v>533</v>
      </c>
      <c r="R20" t="s">
        <v>534</v>
      </c>
      <c r="S20" t="s">
        <v>535</v>
      </c>
      <c r="T20" t="s">
        <v>536</v>
      </c>
      <c r="U20" t="s">
        <v>537</v>
      </c>
      <c r="V20" t="s">
        <v>521</v>
      </c>
      <c r="W20" t="s">
        <v>538</v>
      </c>
      <c r="X20" t="s">
        <v>539</v>
      </c>
      <c r="Y20" t="s">
        <v>540</v>
      </c>
      <c r="Z20" t="s">
        <v>541</v>
      </c>
      <c r="AA20" t="s">
        <v>542</v>
      </c>
      <c r="AB20" t="s">
        <v>543</v>
      </c>
      <c r="AC20" t="s">
        <v>544</v>
      </c>
      <c r="AD20" t="s">
        <v>545</v>
      </c>
      <c r="AE20" t="s">
        <v>521</v>
      </c>
      <c r="AF20" t="s">
        <v>525</v>
      </c>
      <c r="AG20" t="s">
        <v>528</v>
      </c>
      <c r="AH20" t="s">
        <v>546</v>
      </c>
      <c r="AI20" t="s">
        <v>547</v>
      </c>
      <c r="AJ20" t="s">
        <v>520</v>
      </c>
      <c r="AK20" t="s">
        <v>548</v>
      </c>
      <c r="AL20" t="s">
        <v>549</v>
      </c>
      <c r="AM20" t="s">
        <v>550</v>
      </c>
      <c r="AN20" t="s">
        <v>551</v>
      </c>
      <c r="AO20" t="s">
        <v>525</v>
      </c>
      <c r="AP20" t="s">
        <v>552</v>
      </c>
      <c r="AQ20" t="s">
        <v>2531</v>
      </c>
    </row>
    <row r="21" spans="1:43" x14ac:dyDescent="0.25">
      <c r="A21" s="78" t="s">
        <v>553</v>
      </c>
      <c r="B21" t="s">
        <v>554</v>
      </c>
      <c r="C21" t="s">
        <v>555</v>
      </c>
      <c r="D21" t="s">
        <v>556</v>
      </c>
      <c r="E21" t="s">
        <v>557</v>
      </c>
      <c r="F21" t="s">
        <v>558</v>
      </c>
      <c r="G21" t="s">
        <v>559</v>
      </c>
      <c r="H21" t="s">
        <v>560</v>
      </c>
      <c r="I21" t="s">
        <v>553</v>
      </c>
      <c r="J21" t="s">
        <v>561</v>
      </c>
      <c r="K21" t="s">
        <v>562</v>
      </c>
      <c r="L21" t="s">
        <v>563</v>
      </c>
      <c r="M21" t="s">
        <v>564</v>
      </c>
      <c r="N21" t="s">
        <v>553</v>
      </c>
      <c r="O21" t="s">
        <v>565</v>
      </c>
      <c r="P21" t="s">
        <v>553</v>
      </c>
      <c r="Q21" t="s">
        <v>566</v>
      </c>
      <c r="R21" t="s">
        <v>567</v>
      </c>
      <c r="S21" t="s">
        <v>568</v>
      </c>
      <c r="T21" t="s">
        <v>569</v>
      </c>
      <c r="U21" t="s">
        <v>570</v>
      </c>
      <c r="V21" t="s">
        <v>571</v>
      </c>
      <c r="W21" t="s">
        <v>572</v>
      </c>
      <c r="X21" t="s">
        <v>573</v>
      </c>
      <c r="Y21" t="s">
        <v>574</v>
      </c>
      <c r="Z21" t="s">
        <v>575</v>
      </c>
      <c r="AA21" t="s">
        <v>563</v>
      </c>
      <c r="AB21" t="s">
        <v>576</v>
      </c>
      <c r="AC21" t="s">
        <v>577</v>
      </c>
      <c r="AD21" t="s">
        <v>578</v>
      </c>
      <c r="AE21" t="s">
        <v>579</v>
      </c>
      <c r="AF21" t="s">
        <v>580</v>
      </c>
      <c r="AG21" t="s">
        <v>581</v>
      </c>
      <c r="AH21" t="s">
        <v>562</v>
      </c>
      <c r="AI21" t="s">
        <v>581</v>
      </c>
      <c r="AJ21" t="s">
        <v>553</v>
      </c>
      <c r="AK21" t="s">
        <v>563</v>
      </c>
      <c r="AL21" t="s">
        <v>582</v>
      </c>
      <c r="AM21" t="s">
        <v>583</v>
      </c>
      <c r="AN21" t="s">
        <v>584</v>
      </c>
      <c r="AO21" t="s">
        <v>580</v>
      </c>
      <c r="AP21" t="s">
        <v>585</v>
      </c>
      <c r="AQ21" t="s">
        <v>2533</v>
      </c>
    </row>
    <row r="22" spans="1:43" x14ac:dyDescent="0.25">
      <c r="A22" s="78" t="s">
        <v>586</v>
      </c>
      <c r="B22" t="s">
        <v>587</v>
      </c>
      <c r="C22" t="s">
        <v>588</v>
      </c>
      <c r="D22" t="s">
        <v>589</v>
      </c>
      <c r="E22" t="s">
        <v>590</v>
      </c>
      <c r="F22" t="s">
        <v>591</v>
      </c>
      <c r="G22" t="s">
        <v>592</v>
      </c>
      <c r="H22" t="s">
        <v>593</v>
      </c>
      <c r="I22" t="s">
        <v>586</v>
      </c>
      <c r="J22" t="s">
        <v>594</v>
      </c>
      <c r="K22" t="s">
        <v>595</v>
      </c>
      <c r="L22" t="s">
        <v>547</v>
      </c>
      <c r="M22" t="s">
        <v>596</v>
      </c>
      <c r="N22" t="s">
        <v>586</v>
      </c>
      <c r="O22" t="s">
        <v>597</v>
      </c>
      <c r="P22" t="s">
        <v>586</v>
      </c>
      <c r="Q22" t="s">
        <v>598</v>
      </c>
      <c r="R22" t="s">
        <v>599</v>
      </c>
      <c r="S22" t="s">
        <v>600</v>
      </c>
      <c r="T22" t="s">
        <v>601</v>
      </c>
      <c r="U22" t="s">
        <v>602</v>
      </c>
      <c r="V22" t="s">
        <v>603</v>
      </c>
      <c r="W22" t="s">
        <v>604</v>
      </c>
      <c r="X22" t="s">
        <v>605</v>
      </c>
      <c r="Y22" t="s">
        <v>606</v>
      </c>
      <c r="Z22" t="s">
        <v>607</v>
      </c>
      <c r="AA22" t="s">
        <v>608</v>
      </c>
      <c r="AB22" t="s">
        <v>609</v>
      </c>
      <c r="AC22" t="s">
        <v>610</v>
      </c>
      <c r="AD22" t="s">
        <v>611</v>
      </c>
      <c r="AE22" t="s">
        <v>612</v>
      </c>
      <c r="AF22" t="s">
        <v>613</v>
      </c>
      <c r="AG22" t="s">
        <v>594</v>
      </c>
      <c r="AH22" t="s">
        <v>614</v>
      </c>
      <c r="AI22" t="s">
        <v>594</v>
      </c>
      <c r="AJ22" t="s">
        <v>586</v>
      </c>
      <c r="AK22" t="s">
        <v>547</v>
      </c>
      <c r="AL22" t="s">
        <v>615</v>
      </c>
      <c r="AM22" t="s">
        <v>616</v>
      </c>
      <c r="AN22" t="s">
        <v>617</v>
      </c>
      <c r="AO22" t="s">
        <v>613</v>
      </c>
      <c r="AP22" t="s">
        <v>618</v>
      </c>
      <c r="AQ22" t="s">
        <v>2534</v>
      </c>
    </row>
    <row r="23" spans="1:43" x14ac:dyDescent="0.25">
      <c r="A23" s="78" t="s">
        <v>619</v>
      </c>
      <c r="B23" t="s">
        <v>620</v>
      </c>
      <c r="C23" t="s">
        <v>621</v>
      </c>
      <c r="D23" t="s">
        <v>622</v>
      </c>
      <c r="E23" t="s">
        <v>623</v>
      </c>
      <c r="F23" t="s">
        <v>624</v>
      </c>
      <c r="G23" t="s">
        <v>625</v>
      </c>
      <c r="H23" t="s">
        <v>626</v>
      </c>
      <c r="I23" t="s">
        <v>619</v>
      </c>
      <c r="J23" t="s">
        <v>627</v>
      </c>
      <c r="K23" t="s">
        <v>628</v>
      </c>
      <c r="L23" t="s">
        <v>629</v>
      </c>
      <c r="M23" t="s">
        <v>630</v>
      </c>
      <c r="N23" t="s">
        <v>619</v>
      </c>
      <c r="O23" t="s">
        <v>631</v>
      </c>
      <c r="P23" t="s">
        <v>619</v>
      </c>
      <c r="Q23" t="s">
        <v>632</v>
      </c>
      <c r="R23" t="s">
        <v>633</v>
      </c>
      <c r="S23" t="s">
        <v>634</v>
      </c>
      <c r="T23" t="s">
        <v>635</v>
      </c>
      <c r="U23" t="s">
        <v>636</v>
      </c>
      <c r="V23" t="s">
        <v>637</v>
      </c>
      <c r="W23" t="s">
        <v>638</v>
      </c>
      <c r="X23" t="s">
        <v>639</v>
      </c>
      <c r="Y23" t="s">
        <v>624</v>
      </c>
      <c r="Z23" t="s">
        <v>640</v>
      </c>
      <c r="AA23" t="s">
        <v>629</v>
      </c>
      <c r="AB23" t="s">
        <v>641</v>
      </c>
      <c r="AC23" t="s">
        <v>642</v>
      </c>
      <c r="AD23" t="s">
        <v>643</v>
      </c>
      <c r="AE23" t="s">
        <v>644</v>
      </c>
      <c r="AF23" t="s">
        <v>645</v>
      </c>
      <c r="AG23" t="s">
        <v>627</v>
      </c>
      <c r="AH23" t="s">
        <v>646</v>
      </c>
      <c r="AI23" t="s">
        <v>627</v>
      </c>
      <c r="AJ23" t="s">
        <v>619</v>
      </c>
      <c r="AK23" t="s">
        <v>629</v>
      </c>
      <c r="AL23" t="s">
        <v>647</v>
      </c>
      <c r="AM23" t="s">
        <v>648</v>
      </c>
      <c r="AN23" t="s">
        <v>649</v>
      </c>
      <c r="AO23" t="s">
        <v>645</v>
      </c>
      <c r="AP23" t="s">
        <v>650</v>
      </c>
      <c r="AQ23" t="s">
        <v>2535</v>
      </c>
    </row>
    <row r="24" spans="1:43" x14ac:dyDescent="0.25">
      <c r="A24" s="78" t="s">
        <v>651</v>
      </c>
      <c r="B24" t="s">
        <v>652</v>
      </c>
      <c r="C24" t="s">
        <v>653</v>
      </c>
      <c r="D24" t="s">
        <v>654</v>
      </c>
      <c r="E24" t="s">
        <v>655</v>
      </c>
      <c r="F24" t="s">
        <v>656</v>
      </c>
      <c r="G24" t="s">
        <v>657</v>
      </c>
      <c r="H24" t="s">
        <v>658</v>
      </c>
      <c r="I24" t="s">
        <v>651</v>
      </c>
      <c r="J24" t="s">
        <v>659</v>
      </c>
      <c r="K24" t="s">
        <v>660</v>
      </c>
      <c r="L24" t="s">
        <v>661</v>
      </c>
      <c r="M24" t="s">
        <v>662</v>
      </c>
      <c r="N24" t="s">
        <v>651</v>
      </c>
      <c r="O24" t="s">
        <v>663</v>
      </c>
      <c r="P24" t="s">
        <v>651</v>
      </c>
      <c r="Q24" t="s">
        <v>664</v>
      </c>
      <c r="R24" t="s">
        <v>665</v>
      </c>
      <c r="S24" t="s">
        <v>666</v>
      </c>
      <c r="T24" t="s">
        <v>667</v>
      </c>
      <c r="U24" t="s">
        <v>668</v>
      </c>
      <c r="V24" t="s">
        <v>667</v>
      </c>
      <c r="W24" t="s">
        <v>669</v>
      </c>
      <c r="X24" t="s">
        <v>670</v>
      </c>
      <c r="Y24" t="s">
        <v>671</v>
      </c>
      <c r="Z24" t="s">
        <v>672</v>
      </c>
      <c r="AA24" t="s">
        <v>661</v>
      </c>
      <c r="AB24" t="s">
        <v>673</v>
      </c>
      <c r="AC24" t="s">
        <v>660</v>
      </c>
      <c r="AD24" t="s">
        <v>667</v>
      </c>
      <c r="AE24" t="s">
        <v>674</v>
      </c>
      <c r="AF24" t="s">
        <v>675</v>
      </c>
      <c r="AG24" t="s">
        <v>659</v>
      </c>
      <c r="AH24" t="s">
        <v>660</v>
      </c>
      <c r="AI24" t="s">
        <v>676</v>
      </c>
      <c r="AJ24" t="s">
        <v>651</v>
      </c>
      <c r="AK24" t="s">
        <v>677</v>
      </c>
      <c r="AL24" t="s">
        <v>678</v>
      </c>
      <c r="AM24" t="s">
        <v>679</v>
      </c>
      <c r="AN24" t="s">
        <v>680</v>
      </c>
      <c r="AO24" t="s">
        <v>675</v>
      </c>
      <c r="AP24" t="s">
        <v>681</v>
      </c>
      <c r="AQ24" t="s">
        <v>2536</v>
      </c>
    </row>
    <row r="25" spans="1:43" x14ac:dyDescent="0.25">
      <c r="A25" s="78" t="s">
        <v>682</v>
      </c>
      <c r="B25" t="s">
        <v>682</v>
      </c>
      <c r="C25" t="s">
        <v>683</v>
      </c>
      <c r="D25" t="s">
        <v>684</v>
      </c>
      <c r="E25" t="s">
        <v>685</v>
      </c>
      <c r="F25" t="s">
        <v>686</v>
      </c>
      <c r="G25" t="s">
        <v>687</v>
      </c>
      <c r="H25" t="s">
        <v>688</v>
      </c>
      <c r="I25" t="s">
        <v>682</v>
      </c>
      <c r="J25" t="s">
        <v>689</v>
      </c>
      <c r="K25" t="s">
        <v>682</v>
      </c>
      <c r="L25" t="s">
        <v>682</v>
      </c>
      <c r="M25" t="s">
        <v>682</v>
      </c>
      <c r="N25" t="s">
        <v>690</v>
      </c>
      <c r="O25" t="s">
        <v>691</v>
      </c>
      <c r="P25" t="s">
        <v>682</v>
      </c>
      <c r="Q25" t="s">
        <v>692</v>
      </c>
      <c r="R25" t="s">
        <v>693</v>
      </c>
      <c r="S25" t="s">
        <v>682</v>
      </c>
      <c r="T25" t="s">
        <v>682</v>
      </c>
      <c r="U25" t="s">
        <v>682</v>
      </c>
      <c r="V25" t="s">
        <v>687</v>
      </c>
      <c r="W25" t="s">
        <v>694</v>
      </c>
      <c r="X25" t="s">
        <v>695</v>
      </c>
      <c r="Y25" t="s">
        <v>696</v>
      </c>
      <c r="Z25" t="s">
        <v>682</v>
      </c>
      <c r="AA25" t="s">
        <v>682</v>
      </c>
      <c r="AB25" t="s">
        <v>697</v>
      </c>
      <c r="AC25" t="s">
        <v>698</v>
      </c>
      <c r="AD25" t="s">
        <v>682</v>
      </c>
      <c r="AE25" t="s">
        <v>699</v>
      </c>
      <c r="AF25" t="s">
        <v>700</v>
      </c>
      <c r="AG25" t="s">
        <v>682</v>
      </c>
      <c r="AH25" t="s">
        <v>682</v>
      </c>
      <c r="AI25" t="s">
        <v>682</v>
      </c>
      <c r="AJ25" t="s">
        <v>701</v>
      </c>
      <c r="AK25" t="s">
        <v>702</v>
      </c>
      <c r="AL25" t="s">
        <v>703</v>
      </c>
      <c r="AM25" t="s">
        <v>704</v>
      </c>
      <c r="AN25" t="s">
        <v>705</v>
      </c>
      <c r="AO25" t="s">
        <v>706</v>
      </c>
      <c r="AP25" t="s">
        <v>707</v>
      </c>
      <c r="AQ25" t="s">
        <v>685</v>
      </c>
    </row>
    <row r="26" spans="1:43" x14ac:dyDescent="0.25">
      <c r="A26" s="78" t="s">
        <v>708</v>
      </c>
      <c r="B26" t="s">
        <v>709</v>
      </c>
      <c r="C26" t="s">
        <v>710</v>
      </c>
      <c r="D26" t="s">
        <v>711</v>
      </c>
      <c r="E26" t="s">
        <v>712</v>
      </c>
      <c r="F26" t="s">
        <v>713</v>
      </c>
      <c r="G26" t="s">
        <v>708</v>
      </c>
      <c r="H26" t="s">
        <v>714</v>
      </c>
      <c r="I26" t="s">
        <v>708</v>
      </c>
      <c r="J26" t="s">
        <v>715</v>
      </c>
      <c r="K26" t="s">
        <v>708</v>
      </c>
      <c r="L26" t="s">
        <v>708</v>
      </c>
      <c r="M26" t="s">
        <v>708</v>
      </c>
      <c r="N26" t="s">
        <v>716</v>
      </c>
      <c r="O26" t="s">
        <v>717</v>
      </c>
      <c r="P26" t="s">
        <v>708</v>
      </c>
      <c r="Q26" t="s">
        <v>718</v>
      </c>
      <c r="R26" t="s">
        <v>719</v>
      </c>
      <c r="S26" t="s">
        <v>708</v>
      </c>
      <c r="T26" t="s">
        <v>720</v>
      </c>
      <c r="U26" t="s">
        <v>708</v>
      </c>
      <c r="V26" t="s">
        <v>708</v>
      </c>
      <c r="W26" t="s">
        <v>721</v>
      </c>
      <c r="X26" t="s">
        <v>473</v>
      </c>
      <c r="Y26" t="s">
        <v>722</v>
      </c>
      <c r="Z26" t="s">
        <v>723</v>
      </c>
      <c r="AA26" t="s">
        <v>708</v>
      </c>
      <c r="AB26" t="s">
        <v>724</v>
      </c>
      <c r="AC26" t="s">
        <v>725</v>
      </c>
      <c r="AD26" t="s">
        <v>712</v>
      </c>
      <c r="AE26" t="s">
        <v>708</v>
      </c>
      <c r="AF26" t="s">
        <v>722</v>
      </c>
      <c r="AG26" t="s">
        <v>708</v>
      </c>
      <c r="AH26" t="s">
        <v>708</v>
      </c>
      <c r="AI26" t="s">
        <v>708</v>
      </c>
      <c r="AJ26" t="s">
        <v>708</v>
      </c>
      <c r="AK26" t="s">
        <v>708</v>
      </c>
      <c r="AL26" t="s">
        <v>726</v>
      </c>
      <c r="AM26" t="s">
        <v>727</v>
      </c>
      <c r="AN26" t="s">
        <v>728</v>
      </c>
      <c r="AO26" t="s">
        <v>729</v>
      </c>
      <c r="AP26" t="s">
        <v>730</v>
      </c>
      <c r="AQ26" t="s">
        <v>712</v>
      </c>
    </row>
    <row r="27" spans="1:43" x14ac:dyDescent="0.25">
      <c r="A27" s="78" t="s">
        <v>521</v>
      </c>
      <c r="B27" t="s">
        <v>521</v>
      </c>
      <c r="C27" t="s">
        <v>731</v>
      </c>
      <c r="D27" t="s">
        <v>732</v>
      </c>
      <c r="E27" t="s">
        <v>521</v>
      </c>
      <c r="F27" t="s">
        <v>733</v>
      </c>
      <c r="G27" t="s">
        <v>521</v>
      </c>
      <c r="H27" t="s">
        <v>734</v>
      </c>
      <c r="I27" t="s">
        <v>521</v>
      </c>
      <c r="J27" t="s">
        <v>735</v>
      </c>
      <c r="K27" t="s">
        <v>521</v>
      </c>
      <c r="L27" t="s">
        <v>521</v>
      </c>
      <c r="M27" t="s">
        <v>736</v>
      </c>
      <c r="N27" t="s">
        <v>737</v>
      </c>
      <c r="O27" t="s">
        <v>738</v>
      </c>
      <c r="P27" t="s">
        <v>739</v>
      </c>
      <c r="Q27" t="s">
        <v>740</v>
      </c>
      <c r="R27" t="s">
        <v>741</v>
      </c>
      <c r="S27" t="s">
        <v>742</v>
      </c>
      <c r="T27" t="s">
        <v>521</v>
      </c>
      <c r="U27" t="s">
        <v>521</v>
      </c>
      <c r="V27" t="s">
        <v>521</v>
      </c>
      <c r="W27" t="s">
        <v>743</v>
      </c>
      <c r="X27" t="s">
        <v>744</v>
      </c>
      <c r="Y27" t="s">
        <v>745</v>
      </c>
      <c r="Z27" t="s">
        <v>521</v>
      </c>
      <c r="AA27" t="s">
        <v>521</v>
      </c>
      <c r="AB27" t="s">
        <v>746</v>
      </c>
      <c r="AC27" t="s">
        <v>521</v>
      </c>
      <c r="AD27" t="s">
        <v>521</v>
      </c>
      <c r="AE27" t="s">
        <v>521</v>
      </c>
      <c r="AF27" t="s">
        <v>745</v>
      </c>
      <c r="AG27" t="s">
        <v>521</v>
      </c>
      <c r="AH27" t="s">
        <v>521</v>
      </c>
      <c r="AI27" t="s">
        <v>521</v>
      </c>
      <c r="AJ27" t="s">
        <v>521</v>
      </c>
      <c r="AK27" t="s">
        <v>747</v>
      </c>
      <c r="AL27" t="s">
        <v>748</v>
      </c>
      <c r="AM27" t="s">
        <v>521</v>
      </c>
      <c r="AN27" t="s">
        <v>749</v>
      </c>
      <c r="AO27" t="s">
        <v>750</v>
      </c>
      <c r="AP27" t="s">
        <v>751</v>
      </c>
      <c r="AQ27" t="s">
        <v>521</v>
      </c>
    </row>
    <row r="28" spans="1:43" x14ac:dyDescent="0.25">
      <c r="A28" s="78" t="s">
        <v>752</v>
      </c>
      <c r="B28" t="s">
        <v>753</v>
      </c>
      <c r="C28" t="s">
        <v>754</v>
      </c>
      <c r="D28" t="s">
        <v>755</v>
      </c>
      <c r="E28" t="s">
        <v>752</v>
      </c>
      <c r="F28" t="s">
        <v>756</v>
      </c>
      <c r="G28" t="s">
        <v>757</v>
      </c>
      <c r="H28" t="s">
        <v>758</v>
      </c>
      <c r="I28" t="s">
        <v>752</v>
      </c>
      <c r="J28" t="s">
        <v>759</v>
      </c>
      <c r="K28" t="s">
        <v>752</v>
      </c>
      <c r="L28" t="s">
        <v>752</v>
      </c>
      <c r="M28" t="s">
        <v>752</v>
      </c>
      <c r="N28" t="s">
        <v>760</v>
      </c>
      <c r="O28" t="s">
        <v>761</v>
      </c>
      <c r="P28" t="s">
        <v>752</v>
      </c>
      <c r="Q28" t="s">
        <v>762</v>
      </c>
      <c r="R28" t="s">
        <v>763</v>
      </c>
      <c r="S28" t="s">
        <v>764</v>
      </c>
      <c r="T28" t="s">
        <v>752</v>
      </c>
      <c r="U28" t="s">
        <v>752</v>
      </c>
      <c r="V28" t="s">
        <v>752</v>
      </c>
      <c r="W28" t="s">
        <v>765</v>
      </c>
      <c r="X28" t="s">
        <v>766</v>
      </c>
      <c r="Y28" t="s">
        <v>767</v>
      </c>
      <c r="Z28" t="s">
        <v>752</v>
      </c>
      <c r="AA28" t="s">
        <v>752</v>
      </c>
      <c r="AB28" t="s">
        <v>768</v>
      </c>
      <c r="AC28" t="s">
        <v>769</v>
      </c>
      <c r="AD28" t="s">
        <v>757</v>
      </c>
      <c r="AE28" t="s">
        <v>752</v>
      </c>
      <c r="AF28" t="s">
        <v>767</v>
      </c>
      <c r="AG28" t="s">
        <v>752</v>
      </c>
      <c r="AH28" t="s">
        <v>752</v>
      </c>
      <c r="AI28" t="s">
        <v>752</v>
      </c>
      <c r="AJ28" t="s">
        <v>757</v>
      </c>
      <c r="AK28" t="s">
        <v>770</v>
      </c>
      <c r="AL28" t="s">
        <v>771</v>
      </c>
      <c r="AM28" t="s">
        <v>772</v>
      </c>
      <c r="AN28" t="s">
        <v>773</v>
      </c>
      <c r="AO28" t="s">
        <v>774</v>
      </c>
      <c r="AP28" t="s">
        <v>775</v>
      </c>
      <c r="AQ28" t="s">
        <v>752</v>
      </c>
    </row>
    <row r="29" spans="1:43" x14ac:dyDescent="0.25">
      <c r="A29" s="78" t="s">
        <v>776</v>
      </c>
      <c r="B29" t="s">
        <v>777</v>
      </c>
      <c r="C29" t="s">
        <v>778</v>
      </c>
      <c r="D29" t="s">
        <v>779</v>
      </c>
      <c r="E29" t="s">
        <v>776</v>
      </c>
      <c r="F29" t="s">
        <v>780</v>
      </c>
      <c r="G29" t="s">
        <v>781</v>
      </c>
      <c r="H29" t="s">
        <v>782</v>
      </c>
      <c r="I29" t="s">
        <v>776</v>
      </c>
      <c r="J29" t="s">
        <v>783</v>
      </c>
      <c r="K29" t="s">
        <v>776</v>
      </c>
      <c r="L29" t="s">
        <v>777</v>
      </c>
      <c r="M29" t="s">
        <v>784</v>
      </c>
      <c r="N29" t="s">
        <v>781</v>
      </c>
      <c r="O29" t="s">
        <v>785</v>
      </c>
      <c r="P29" t="s">
        <v>781</v>
      </c>
      <c r="Q29" t="s">
        <v>786</v>
      </c>
      <c r="R29" t="s">
        <v>787</v>
      </c>
      <c r="S29" t="s">
        <v>788</v>
      </c>
      <c r="T29" t="s">
        <v>784</v>
      </c>
      <c r="U29" t="s">
        <v>789</v>
      </c>
      <c r="V29" t="s">
        <v>790</v>
      </c>
      <c r="W29" t="s">
        <v>791</v>
      </c>
      <c r="X29" t="s">
        <v>792</v>
      </c>
      <c r="Y29" t="s">
        <v>793</v>
      </c>
      <c r="Z29" t="s">
        <v>794</v>
      </c>
      <c r="AA29" t="s">
        <v>781</v>
      </c>
      <c r="AB29" t="s">
        <v>795</v>
      </c>
      <c r="AC29" t="s">
        <v>777</v>
      </c>
      <c r="AD29" t="s">
        <v>781</v>
      </c>
      <c r="AE29" t="s">
        <v>781</v>
      </c>
      <c r="AF29" t="s">
        <v>780</v>
      </c>
      <c r="AG29" t="s">
        <v>777</v>
      </c>
      <c r="AH29" t="s">
        <v>788</v>
      </c>
      <c r="AI29" t="s">
        <v>777</v>
      </c>
      <c r="AJ29" t="s">
        <v>776</v>
      </c>
      <c r="AK29" t="s">
        <v>796</v>
      </c>
      <c r="AL29" t="s">
        <v>797</v>
      </c>
      <c r="AM29" t="s">
        <v>776</v>
      </c>
      <c r="AN29" t="s">
        <v>798</v>
      </c>
      <c r="AO29" t="s">
        <v>799</v>
      </c>
      <c r="AP29" t="s">
        <v>800</v>
      </c>
      <c r="AQ29" t="s">
        <v>776</v>
      </c>
    </row>
    <row r="30" spans="1:43" x14ac:dyDescent="0.25">
      <c r="A30" s="78" t="s">
        <v>801</v>
      </c>
      <c r="B30" t="s">
        <v>802</v>
      </c>
      <c r="C30" t="s">
        <v>803</v>
      </c>
      <c r="D30" t="s">
        <v>804</v>
      </c>
      <c r="E30" t="s">
        <v>805</v>
      </c>
      <c r="F30" t="s">
        <v>806</v>
      </c>
      <c r="G30" t="s">
        <v>801</v>
      </c>
      <c r="H30" t="s">
        <v>807</v>
      </c>
      <c r="I30" t="s">
        <v>801</v>
      </c>
      <c r="J30" t="s">
        <v>808</v>
      </c>
      <c r="K30" t="s">
        <v>809</v>
      </c>
      <c r="L30" t="s">
        <v>801</v>
      </c>
      <c r="M30" t="s">
        <v>801</v>
      </c>
      <c r="N30" t="s">
        <v>810</v>
      </c>
      <c r="O30" t="s">
        <v>811</v>
      </c>
      <c r="P30" t="s">
        <v>801</v>
      </c>
      <c r="Q30" t="s">
        <v>812</v>
      </c>
      <c r="R30" t="s">
        <v>813</v>
      </c>
      <c r="S30" t="s">
        <v>814</v>
      </c>
      <c r="T30" t="s">
        <v>801</v>
      </c>
      <c r="U30" t="s">
        <v>814</v>
      </c>
      <c r="V30" t="s">
        <v>815</v>
      </c>
      <c r="W30" t="s">
        <v>816</v>
      </c>
      <c r="X30" t="s">
        <v>817</v>
      </c>
      <c r="Y30" t="s">
        <v>818</v>
      </c>
      <c r="Z30" t="s">
        <v>819</v>
      </c>
      <c r="AA30" t="s">
        <v>801</v>
      </c>
      <c r="AB30" t="s">
        <v>820</v>
      </c>
      <c r="AC30" t="s">
        <v>821</v>
      </c>
      <c r="AD30" t="s">
        <v>801</v>
      </c>
      <c r="AE30" t="s">
        <v>822</v>
      </c>
      <c r="AF30" t="s">
        <v>823</v>
      </c>
      <c r="AG30" t="s">
        <v>801</v>
      </c>
      <c r="AH30" t="s">
        <v>814</v>
      </c>
      <c r="AI30" t="s">
        <v>801</v>
      </c>
      <c r="AJ30" t="s">
        <v>801</v>
      </c>
      <c r="AK30" t="s">
        <v>824</v>
      </c>
      <c r="AL30" t="s">
        <v>825</v>
      </c>
      <c r="AM30" t="s">
        <v>826</v>
      </c>
      <c r="AN30" t="s">
        <v>827</v>
      </c>
      <c r="AO30" t="s">
        <v>828</v>
      </c>
      <c r="AP30" t="s">
        <v>829</v>
      </c>
      <c r="AQ30" t="s">
        <v>2537</v>
      </c>
    </row>
    <row r="31" spans="1:43" x14ac:dyDescent="0.25">
      <c r="A31" s="78" t="s">
        <v>830</v>
      </c>
      <c r="B31" t="s">
        <v>831</v>
      </c>
      <c r="C31" t="s">
        <v>832</v>
      </c>
      <c r="D31" t="s">
        <v>833</v>
      </c>
      <c r="E31" t="s">
        <v>834</v>
      </c>
      <c r="F31" t="s">
        <v>835</v>
      </c>
      <c r="G31" t="s">
        <v>830</v>
      </c>
      <c r="H31" t="s">
        <v>836</v>
      </c>
      <c r="I31" t="s">
        <v>830</v>
      </c>
      <c r="J31" t="s">
        <v>837</v>
      </c>
      <c r="K31" t="s">
        <v>838</v>
      </c>
      <c r="L31" t="s">
        <v>830</v>
      </c>
      <c r="M31" t="s">
        <v>830</v>
      </c>
      <c r="N31" t="s">
        <v>839</v>
      </c>
      <c r="O31" t="s">
        <v>840</v>
      </c>
      <c r="P31" t="s">
        <v>830</v>
      </c>
      <c r="Q31" t="s">
        <v>841</v>
      </c>
      <c r="R31" t="s">
        <v>842</v>
      </c>
      <c r="S31" t="s">
        <v>843</v>
      </c>
      <c r="T31" t="s">
        <v>830</v>
      </c>
      <c r="U31" t="s">
        <v>843</v>
      </c>
      <c r="V31" t="s">
        <v>844</v>
      </c>
      <c r="W31" t="s">
        <v>845</v>
      </c>
      <c r="X31" t="s">
        <v>846</v>
      </c>
      <c r="Y31" t="s">
        <v>847</v>
      </c>
      <c r="Z31" t="s">
        <v>848</v>
      </c>
      <c r="AA31" t="s">
        <v>830</v>
      </c>
      <c r="AB31" t="s">
        <v>849</v>
      </c>
      <c r="AC31" t="s">
        <v>808</v>
      </c>
      <c r="AD31" t="s">
        <v>830</v>
      </c>
      <c r="AE31" t="s">
        <v>850</v>
      </c>
      <c r="AF31" t="s">
        <v>851</v>
      </c>
      <c r="AG31" t="s">
        <v>830</v>
      </c>
      <c r="AH31" t="s">
        <v>843</v>
      </c>
      <c r="AI31" t="s">
        <v>830</v>
      </c>
      <c r="AJ31" t="s">
        <v>830</v>
      </c>
      <c r="AK31" t="s">
        <v>852</v>
      </c>
      <c r="AL31" t="s">
        <v>853</v>
      </c>
      <c r="AM31" t="s">
        <v>854</v>
      </c>
      <c r="AN31" t="s">
        <v>855</v>
      </c>
      <c r="AO31" t="s">
        <v>856</v>
      </c>
      <c r="AP31" t="s">
        <v>857</v>
      </c>
      <c r="AQ31" t="s">
        <v>2538</v>
      </c>
    </row>
    <row r="32" spans="1:43" x14ac:dyDescent="0.25">
      <c r="A32" s="78" t="s">
        <v>858</v>
      </c>
      <c r="B32" t="s">
        <v>859</v>
      </c>
      <c r="C32" t="s">
        <v>860</v>
      </c>
      <c r="D32" t="s">
        <v>861</v>
      </c>
      <c r="E32" t="s">
        <v>862</v>
      </c>
      <c r="F32" t="s">
        <v>863</v>
      </c>
      <c r="G32" t="s">
        <v>864</v>
      </c>
      <c r="H32" t="s">
        <v>865</v>
      </c>
      <c r="I32" t="s">
        <v>858</v>
      </c>
      <c r="J32" t="s">
        <v>866</v>
      </c>
      <c r="K32" t="s">
        <v>858</v>
      </c>
      <c r="L32" t="s">
        <v>858</v>
      </c>
      <c r="M32" t="s">
        <v>858</v>
      </c>
      <c r="N32" t="s">
        <v>867</v>
      </c>
      <c r="O32" t="s">
        <v>868</v>
      </c>
      <c r="P32" t="s">
        <v>858</v>
      </c>
      <c r="Q32" t="s">
        <v>869</v>
      </c>
      <c r="R32" t="s">
        <v>870</v>
      </c>
      <c r="S32" t="s">
        <v>858</v>
      </c>
      <c r="T32" t="s">
        <v>871</v>
      </c>
      <c r="U32" t="s">
        <v>872</v>
      </c>
      <c r="V32" t="s">
        <v>864</v>
      </c>
      <c r="W32" t="s">
        <v>873</v>
      </c>
      <c r="X32" t="s">
        <v>874</v>
      </c>
      <c r="Y32" t="s">
        <v>875</v>
      </c>
      <c r="Z32" t="s">
        <v>876</v>
      </c>
      <c r="AA32" t="s">
        <v>858</v>
      </c>
      <c r="AB32" t="s">
        <v>877</v>
      </c>
      <c r="AC32" t="s">
        <v>878</v>
      </c>
      <c r="AD32" t="s">
        <v>864</v>
      </c>
      <c r="AE32" t="s">
        <v>858</v>
      </c>
      <c r="AF32" t="s">
        <v>875</v>
      </c>
      <c r="AG32" t="s">
        <v>879</v>
      </c>
      <c r="AH32" t="s">
        <v>858</v>
      </c>
      <c r="AI32" t="s">
        <v>879</v>
      </c>
      <c r="AJ32" t="s">
        <v>864</v>
      </c>
      <c r="AK32" t="s">
        <v>858</v>
      </c>
      <c r="AL32" t="s">
        <v>880</v>
      </c>
      <c r="AM32" t="s">
        <v>881</v>
      </c>
      <c r="AN32" t="s">
        <v>882</v>
      </c>
      <c r="AO32" t="s">
        <v>883</v>
      </c>
      <c r="AP32" t="s">
        <v>884</v>
      </c>
      <c r="AQ32" t="s">
        <v>879</v>
      </c>
    </row>
    <row r="33" spans="1:43" x14ac:dyDescent="0.25">
      <c r="A33" s="78" t="s">
        <v>885</v>
      </c>
      <c r="B33" t="s">
        <v>886</v>
      </c>
      <c r="C33" t="s">
        <v>887</v>
      </c>
      <c r="D33" t="s">
        <v>888</v>
      </c>
      <c r="E33" t="s">
        <v>505</v>
      </c>
      <c r="F33" t="s">
        <v>889</v>
      </c>
      <c r="G33" t="s">
        <v>890</v>
      </c>
      <c r="H33" t="s">
        <v>891</v>
      </c>
      <c r="I33" t="s">
        <v>885</v>
      </c>
      <c r="J33" t="s">
        <v>892</v>
      </c>
      <c r="K33" t="s">
        <v>885</v>
      </c>
      <c r="L33" t="s">
        <v>885</v>
      </c>
      <c r="M33" t="s">
        <v>885</v>
      </c>
      <c r="N33" t="s">
        <v>893</v>
      </c>
      <c r="O33" t="s">
        <v>894</v>
      </c>
      <c r="P33" t="s">
        <v>885</v>
      </c>
      <c r="Q33" t="s">
        <v>895</v>
      </c>
      <c r="R33" t="s">
        <v>896</v>
      </c>
      <c r="S33" t="s">
        <v>897</v>
      </c>
      <c r="T33" t="s">
        <v>885</v>
      </c>
      <c r="U33" t="s">
        <v>885</v>
      </c>
      <c r="V33" t="s">
        <v>890</v>
      </c>
      <c r="W33" t="s">
        <v>898</v>
      </c>
      <c r="X33" t="s">
        <v>899</v>
      </c>
      <c r="Y33" t="s">
        <v>900</v>
      </c>
      <c r="Z33" t="s">
        <v>890</v>
      </c>
      <c r="AA33" t="s">
        <v>885</v>
      </c>
      <c r="AB33" t="s">
        <v>901</v>
      </c>
      <c r="AC33" t="s">
        <v>902</v>
      </c>
      <c r="AD33" t="s">
        <v>890</v>
      </c>
      <c r="AE33" t="s">
        <v>885</v>
      </c>
      <c r="AF33" t="s">
        <v>903</v>
      </c>
      <c r="AG33" t="s">
        <v>885</v>
      </c>
      <c r="AH33" t="s">
        <v>885</v>
      </c>
      <c r="AI33" t="s">
        <v>885</v>
      </c>
      <c r="AJ33" t="s">
        <v>885</v>
      </c>
      <c r="AK33" t="s">
        <v>904</v>
      </c>
      <c r="AL33" t="s">
        <v>905</v>
      </c>
      <c r="AM33" t="s">
        <v>906</v>
      </c>
      <c r="AN33" t="s">
        <v>907</v>
      </c>
      <c r="AO33" t="s">
        <v>908</v>
      </c>
      <c r="AP33" t="s">
        <v>909</v>
      </c>
      <c r="AQ33" t="s">
        <v>505</v>
      </c>
    </row>
    <row r="34" spans="1:43" x14ac:dyDescent="0.25">
      <c r="A34" s="78" t="s">
        <v>910</v>
      </c>
      <c r="B34" t="s">
        <v>911</v>
      </c>
      <c r="C34" t="s">
        <v>912</v>
      </c>
      <c r="D34" t="s">
        <v>913</v>
      </c>
      <c r="E34" t="s">
        <v>914</v>
      </c>
      <c r="F34" t="s">
        <v>915</v>
      </c>
      <c r="G34" t="s">
        <v>910</v>
      </c>
      <c r="H34" t="s">
        <v>916</v>
      </c>
      <c r="I34" t="s">
        <v>910</v>
      </c>
      <c r="J34" t="s">
        <v>917</v>
      </c>
      <c r="K34" t="s">
        <v>910</v>
      </c>
      <c r="L34" t="s">
        <v>914</v>
      </c>
      <c r="M34" t="s">
        <v>914</v>
      </c>
      <c r="N34" t="s">
        <v>910</v>
      </c>
      <c r="O34" t="s">
        <v>918</v>
      </c>
      <c r="P34" t="s">
        <v>914</v>
      </c>
      <c r="Q34" t="s">
        <v>919</v>
      </c>
      <c r="R34" t="s">
        <v>920</v>
      </c>
      <c r="S34" t="s">
        <v>914</v>
      </c>
      <c r="T34" t="s">
        <v>914</v>
      </c>
      <c r="U34" t="s">
        <v>914</v>
      </c>
      <c r="V34" t="s">
        <v>921</v>
      </c>
      <c r="W34" t="s">
        <v>922</v>
      </c>
      <c r="X34" t="s">
        <v>923</v>
      </c>
      <c r="Y34" t="s">
        <v>924</v>
      </c>
      <c r="Z34" t="s">
        <v>921</v>
      </c>
      <c r="AA34" t="s">
        <v>914</v>
      </c>
      <c r="AB34" t="s">
        <v>925</v>
      </c>
      <c r="AC34" t="s">
        <v>926</v>
      </c>
      <c r="AD34" t="s">
        <v>927</v>
      </c>
      <c r="AE34" t="s">
        <v>910</v>
      </c>
      <c r="AF34" t="s">
        <v>924</v>
      </c>
      <c r="AG34" t="s">
        <v>914</v>
      </c>
      <c r="AH34" t="s">
        <v>914</v>
      </c>
      <c r="AI34" t="s">
        <v>910</v>
      </c>
      <c r="AJ34" t="s">
        <v>910</v>
      </c>
      <c r="AK34" t="s">
        <v>928</v>
      </c>
      <c r="AL34" t="s">
        <v>929</v>
      </c>
      <c r="AM34" t="s">
        <v>930</v>
      </c>
      <c r="AN34" t="s">
        <v>931</v>
      </c>
      <c r="AO34" t="s">
        <v>932</v>
      </c>
      <c r="AP34" t="s">
        <v>933</v>
      </c>
      <c r="AQ34" t="s">
        <v>914</v>
      </c>
    </row>
    <row r="35" spans="1:43" x14ac:dyDescent="0.25">
      <c r="A35" s="78" t="s">
        <v>934</v>
      </c>
      <c r="B35" t="s">
        <v>935</v>
      </c>
      <c r="C35" t="s">
        <v>936</v>
      </c>
      <c r="D35" t="s">
        <v>937</v>
      </c>
      <c r="E35" t="s">
        <v>938</v>
      </c>
      <c r="F35" t="s">
        <v>939</v>
      </c>
      <c r="G35" t="s">
        <v>934</v>
      </c>
      <c r="H35" t="s">
        <v>940</v>
      </c>
      <c r="I35" t="s">
        <v>934</v>
      </c>
      <c r="J35" t="s">
        <v>941</v>
      </c>
      <c r="K35" t="s">
        <v>934</v>
      </c>
      <c r="L35" t="s">
        <v>934</v>
      </c>
      <c r="M35" t="s">
        <v>934</v>
      </c>
      <c r="N35" t="s">
        <v>934</v>
      </c>
      <c r="O35" t="s">
        <v>942</v>
      </c>
      <c r="P35" t="s">
        <v>934</v>
      </c>
      <c r="Q35" t="s">
        <v>943</v>
      </c>
      <c r="R35" t="s">
        <v>944</v>
      </c>
      <c r="S35" t="s">
        <v>934</v>
      </c>
      <c r="T35" t="s">
        <v>945</v>
      </c>
      <c r="U35" t="s">
        <v>946</v>
      </c>
      <c r="V35" t="s">
        <v>934</v>
      </c>
      <c r="W35" t="s">
        <v>947</v>
      </c>
      <c r="X35" t="s">
        <v>948</v>
      </c>
      <c r="Y35" t="s">
        <v>949</v>
      </c>
      <c r="Z35" t="s">
        <v>934</v>
      </c>
      <c r="AA35" t="s">
        <v>934</v>
      </c>
      <c r="AB35" t="s">
        <v>950</v>
      </c>
      <c r="AC35" t="s">
        <v>917</v>
      </c>
      <c r="AD35" t="s">
        <v>934</v>
      </c>
      <c r="AE35" t="s">
        <v>951</v>
      </c>
      <c r="AF35" t="s">
        <v>952</v>
      </c>
      <c r="AG35" t="s">
        <v>934</v>
      </c>
      <c r="AH35" t="s">
        <v>934</v>
      </c>
      <c r="AI35" t="s">
        <v>934</v>
      </c>
      <c r="AJ35" t="s">
        <v>934</v>
      </c>
      <c r="AK35" t="s">
        <v>953</v>
      </c>
      <c r="AL35" t="s">
        <v>954</v>
      </c>
      <c r="AM35" t="s">
        <v>955</v>
      </c>
      <c r="AN35" t="s">
        <v>956</v>
      </c>
      <c r="AO35" t="s">
        <v>957</v>
      </c>
      <c r="AP35" t="s">
        <v>958</v>
      </c>
      <c r="AQ35" t="s">
        <v>938</v>
      </c>
    </row>
    <row r="36" spans="1:43" x14ac:dyDescent="0.25">
      <c r="A36" s="78" t="s">
        <v>959</v>
      </c>
      <c r="B36" t="s">
        <v>960</v>
      </c>
      <c r="C36" t="s">
        <v>961</v>
      </c>
      <c r="D36" t="s">
        <v>962</v>
      </c>
      <c r="E36" t="s">
        <v>963</v>
      </c>
      <c r="F36" t="s">
        <v>964</v>
      </c>
      <c r="G36" t="s">
        <v>965</v>
      </c>
      <c r="H36" t="s">
        <v>966</v>
      </c>
      <c r="I36" t="s">
        <v>959</v>
      </c>
      <c r="J36" t="s">
        <v>967</v>
      </c>
      <c r="K36" t="s">
        <v>959</v>
      </c>
      <c r="L36" t="s">
        <v>959</v>
      </c>
      <c r="M36" t="s">
        <v>959</v>
      </c>
      <c r="N36" t="s">
        <v>968</v>
      </c>
      <c r="O36" t="s">
        <v>969</v>
      </c>
      <c r="P36" t="s">
        <v>970</v>
      </c>
      <c r="Q36" t="s">
        <v>971</v>
      </c>
      <c r="R36" t="s">
        <v>972</v>
      </c>
      <c r="S36" t="s">
        <v>959</v>
      </c>
      <c r="T36" t="s">
        <v>965</v>
      </c>
      <c r="U36" t="s">
        <v>965</v>
      </c>
      <c r="V36" t="s">
        <v>973</v>
      </c>
      <c r="W36" t="s">
        <v>974</v>
      </c>
      <c r="X36" t="s">
        <v>975</v>
      </c>
      <c r="Y36" t="s">
        <v>976</v>
      </c>
      <c r="Z36" t="s">
        <v>977</v>
      </c>
      <c r="AA36" t="s">
        <v>965</v>
      </c>
      <c r="AB36" t="s">
        <v>978</v>
      </c>
      <c r="AC36" t="s">
        <v>979</v>
      </c>
      <c r="AD36" t="s">
        <v>970</v>
      </c>
      <c r="AE36" t="s">
        <v>959</v>
      </c>
      <c r="AF36" t="s">
        <v>976</v>
      </c>
      <c r="AG36" t="s">
        <v>959</v>
      </c>
      <c r="AH36" t="s">
        <v>959</v>
      </c>
      <c r="AI36" t="s">
        <v>959</v>
      </c>
      <c r="AJ36" t="s">
        <v>973</v>
      </c>
      <c r="AK36" t="s">
        <v>980</v>
      </c>
      <c r="AL36" t="s">
        <v>981</v>
      </c>
      <c r="AM36" t="s">
        <v>982</v>
      </c>
      <c r="AN36" t="s">
        <v>983</v>
      </c>
      <c r="AO36" t="s">
        <v>984</v>
      </c>
      <c r="AP36" t="s">
        <v>985</v>
      </c>
      <c r="AQ36" t="s">
        <v>963</v>
      </c>
    </row>
    <row r="37" spans="1:43" x14ac:dyDescent="0.25">
      <c r="A37" s="78" t="s">
        <v>986</v>
      </c>
      <c r="B37" t="s">
        <v>987</v>
      </c>
      <c r="C37" t="s">
        <v>988</v>
      </c>
      <c r="D37" t="s">
        <v>989</v>
      </c>
      <c r="E37" t="s">
        <v>990</v>
      </c>
      <c r="F37" t="s">
        <v>991</v>
      </c>
      <c r="G37" t="s">
        <v>992</v>
      </c>
      <c r="H37" t="s">
        <v>993</v>
      </c>
      <c r="I37" t="s">
        <v>994</v>
      </c>
      <c r="J37" t="s">
        <v>986</v>
      </c>
      <c r="K37" t="s">
        <v>986</v>
      </c>
      <c r="L37" t="s">
        <v>995</v>
      </c>
      <c r="M37" t="s">
        <v>986</v>
      </c>
      <c r="N37" t="s">
        <v>996</v>
      </c>
      <c r="O37" t="s">
        <v>997</v>
      </c>
      <c r="P37" t="s">
        <v>986</v>
      </c>
      <c r="Q37" t="s">
        <v>998</v>
      </c>
      <c r="R37" t="s">
        <v>999</v>
      </c>
      <c r="S37" t="s">
        <v>1000</v>
      </c>
      <c r="T37" t="s">
        <v>1001</v>
      </c>
      <c r="U37" t="s">
        <v>1002</v>
      </c>
      <c r="V37" t="s">
        <v>1003</v>
      </c>
      <c r="W37" t="s">
        <v>1004</v>
      </c>
      <c r="X37" t="s">
        <v>990</v>
      </c>
      <c r="Y37" t="s">
        <v>1005</v>
      </c>
      <c r="Z37" t="s">
        <v>1001</v>
      </c>
      <c r="AA37" t="s">
        <v>1006</v>
      </c>
      <c r="AB37" t="s">
        <v>1007</v>
      </c>
      <c r="AC37" t="s">
        <v>1008</v>
      </c>
      <c r="AD37" t="s">
        <v>1009</v>
      </c>
      <c r="AE37" t="s">
        <v>1010</v>
      </c>
      <c r="AF37" t="s">
        <v>1011</v>
      </c>
      <c r="AG37" t="s">
        <v>1012</v>
      </c>
      <c r="AH37" t="s">
        <v>1013</v>
      </c>
      <c r="AI37" t="s">
        <v>1014</v>
      </c>
      <c r="AJ37" t="s">
        <v>1015</v>
      </c>
      <c r="AK37" t="s">
        <v>1006</v>
      </c>
      <c r="AL37" t="s">
        <v>1016</v>
      </c>
      <c r="AM37" t="s">
        <v>1017</v>
      </c>
      <c r="AN37" t="s">
        <v>1018</v>
      </c>
      <c r="AO37" t="s">
        <v>1011</v>
      </c>
      <c r="AP37" t="s">
        <v>1019</v>
      </c>
      <c r="AQ37" t="s">
        <v>2539</v>
      </c>
    </row>
    <row r="38" spans="1:43" x14ac:dyDescent="0.25">
      <c r="A38" s="78" t="s">
        <v>1020</v>
      </c>
      <c r="B38" t="s">
        <v>1021</v>
      </c>
      <c r="C38" t="s">
        <v>1022</v>
      </c>
      <c r="D38" t="s">
        <v>1023</v>
      </c>
      <c r="E38" t="s">
        <v>1024</v>
      </c>
      <c r="F38" t="s">
        <v>1025</v>
      </c>
      <c r="G38" t="s">
        <v>1026</v>
      </c>
      <c r="H38" t="s">
        <v>1027</v>
      </c>
      <c r="I38" t="s">
        <v>1028</v>
      </c>
      <c r="J38" t="s">
        <v>1029</v>
      </c>
      <c r="K38" t="s">
        <v>1030</v>
      </c>
      <c r="L38" t="s">
        <v>1031</v>
      </c>
      <c r="M38" t="s">
        <v>1032</v>
      </c>
      <c r="N38" t="s">
        <v>1033</v>
      </c>
      <c r="O38" t="s">
        <v>1034</v>
      </c>
      <c r="P38" t="s">
        <v>1031</v>
      </c>
      <c r="Q38" t="s">
        <v>1035</v>
      </c>
      <c r="R38" t="s">
        <v>1036</v>
      </c>
      <c r="S38" t="s">
        <v>1037</v>
      </c>
      <c r="T38" t="s">
        <v>1038</v>
      </c>
      <c r="U38" t="s">
        <v>1020</v>
      </c>
      <c r="V38" t="s">
        <v>1039</v>
      </c>
      <c r="W38" t="s">
        <v>1040</v>
      </c>
      <c r="X38" t="s">
        <v>1041</v>
      </c>
      <c r="Y38" t="s">
        <v>1042</v>
      </c>
      <c r="Z38" t="s">
        <v>1043</v>
      </c>
      <c r="AA38" t="s">
        <v>1044</v>
      </c>
      <c r="AB38" t="s">
        <v>1045</v>
      </c>
      <c r="AC38" t="s">
        <v>1046</v>
      </c>
      <c r="AD38" t="s">
        <v>1047</v>
      </c>
      <c r="AE38" t="s">
        <v>1048</v>
      </c>
      <c r="AF38" t="s">
        <v>1049</v>
      </c>
      <c r="AG38" t="s">
        <v>1050</v>
      </c>
      <c r="AH38" t="s">
        <v>2270</v>
      </c>
      <c r="AI38" t="s">
        <v>1051</v>
      </c>
      <c r="AJ38" t="s">
        <v>1052</v>
      </c>
      <c r="AK38" t="s">
        <v>1031</v>
      </c>
      <c r="AL38" t="s">
        <v>1053</v>
      </c>
      <c r="AM38" t="s">
        <v>1054</v>
      </c>
      <c r="AN38" t="s">
        <v>1020</v>
      </c>
      <c r="AO38" t="s">
        <v>1055</v>
      </c>
      <c r="AP38" t="s">
        <v>1056</v>
      </c>
      <c r="AQ38" t="s">
        <v>1024</v>
      </c>
    </row>
    <row r="39" spans="1:43" x14ac:dyDescent="0.25">
      <c r="A39" s="78" t="s">
        <v>1057</v>
      </c>
      <c r="B39" t="s">
        <v>1058</v>
      </c>
      <c r="C39" t="s">
        <v>1059</v>
      </c>
      <c r="D39" t="s">
        <v>1060</v>
      </c>
      <c r="E39" t="s">
        <v>1061</v>
      </c>
      <c r="F39" t="s">
        <v>1062</v>
      </c>
      <c r="G39" t="s">
        <v>1063</v>
      </c>
      <c r="H39" t="s">
        <v>1064</v>
      </c>
      <c r="I39" t="s">
        <v>1064</v>
      </c>
      <c r="J39" t="s">
        <v>1065</v>
      </c>
      <c r="K39" t="s">
        <v>1066</v>
      </c>
      <c r="L39" t="s">
        <v>1057</v>
      </c>
      <c r="M39" t="s">
        <v>1057</v>
      </c>
      <c r="N39" t="s">
        <v>1067</v>
      </c>
      <c r="O39" t="s">
        <v>2273</v>
      </c>
      <c r="P39" t="s">
        <v>1066</v>
      </c>
      <c r="Q39" t="s">
        <v>1068</v>
      </c>
      <c r="R39" t="s">
        <v>1069</v>
      </c>
      <c r="S39" t="s">
        <v>1070</v>
      </c>
      <c r="T39" t="s">
        <v>1065</v>
      </c>
      <c r="U39" t="s">
        <v>1057</v>
      </c>
      <c r="V39" t="s">
        <v>1072</v>
      </c>
      <c r="W39" t="s">
        <v>1073</v>
      </c>
      <c r="X39" t="s">
        <v>1061</v>
      </c>
      <c r="Y39" t="s">
        <v>1062</v>
      </c>
      <c r="Z39" t="s">
        <v>1074</v>
      </c>
      <c r="AA39" t="s">
        <v>1057</v>
      </c>
      <c r="AB39" t="s">
        <v>1075</v>
      </c>
      <c r="AC39" t="s">
        <v>1076</v>
      </c>
      <c r="AD39" t="s">
        <v>1077</v>
      </c>
      <c r="AE39" t="s">
        <v>1078</v>
      </c>
      <c r="AF39" t="s">
        <v>1079</v>
      </c>
      <c r="AG39" t="s">
        <v>1062</v>
      </c>
      <c r="AH39" t="s">
        <v>1066</v>
      </c>
      <c r="AI39" t="s">
        <v>1071</v>
      </c>
      <c r="AJ39" t="s">
        <v>1077</v>
      </c>
      <c r="AK39" t="s">
        <v>1066</v>
      </c>
      <c r="AL39" t="s">
        <v>1080</v>
      </c>
      <c r="AM39" t="s">
        <v>1061</v>
      </c>
      <c r="AN39" t="s">
        <v>1057</v>
      </c>
      <c r="AO39" t="s">
        <v>1079</v>
      </c>
      <c r="AP39" t="s">
        <v>1081</v>
      </c>
      <c r="AQ39" t="s">
        <v>1061</v>
      </c>
    </row>
    <row r="40" spans="1:43" x14ac:dyDescent="0.25">
      <c r="A40" s="78" t="s">
        <v>1082</v>
      </c>
      <c r="B40" t="s">
        <v>1082</v>
      </c>
      <c r="C40" t="s">
        <v>1083</v>
      </c>
      <c r="D40" t="s">
        <v>1084</v>
      </c>
      <c r="E40" t="s">
        <v>1085</v>
      </c>
      <c r="F40" t="s">
        <v>1086</v>
      </c>
      <c r="G40" t="s">
        <v>1087</v>
      </c>
      <c r="H40" t="s">
        <v>1088</v>
      </c>
      <c r="I40" t="s">
        <v>1089</v>
      </c>
      <c r="J40" t="s">
        <v>1090</v>
      </c>
      <c r="K40" t="s">
        <v>1082</v>
      </c>
      <c r="L40" t="s">
        <v>1082</v>
      </c>
      <c r="M40" t="s">
        <v>1082</v>
      </c>
      <c r="N40" t="s">
        <v>1082</v>
      </c>
      <c r="O40" t="s">
        <v>1091</v>
      </c>
      <c r="P40" t="s">
        <v>1082</v>
      </c>
      <c r="Q40" t="s">
        <v>1092</v>
      </c>
      <c r="R40" t="s">
        <v>1093</v>
      </c>
      <c r="S40" t="s">
        <v>1082</v>
      </c>
      <c r="T40" t="s">
        <v>1082</v>
      </c>
      <c r="U40" t="s">
        <v>1082</v>
      </c>
      <c r="V40" t="s">
        <v>1082</v>
      </c>
      <c r="W40" t="s">
        <v>1094</v>
      </c>
      <c r="X40" t="s">
        <v>1095</v>
      </c>
      <c r="Y40" t="s">
        <v>1096</v>
      </c>
      <c r="Z40" t="s">
        <v>1097</v>
      </c>
      <c r="AA40" t="s">
        <v>1082</v>
      </c>
      <c r="AB40" t="s">
        <v>1098</v>
      </c>
      <c r="AC40" t="s">
        <v>1097</v>
      </c>
      <c r="AD40" t="s">
        <v>1087</v>
      </c>
      <c r="AE40" t="s">
        <v>1082</v>
      </c>
      <c r="AF40" t="s">
        <v>1086</v>
      </c>
      <c r="AG40" t="s">
        <v>1099</v>
      </c>
      <c r="AH40" t="s">
        <v>1100</v>
      </c>
      <c r="AI40" t="s">
        <v>1090</v>
      </c>
      <c r="AJ40" t="s">
        <v>1082</v>
      </c>
      <c r="AK40" t="s">
        <v>1082</v>
      </c>
      <c r="AL40" t="s">
        <v>1101</v>
      </c>
      <c r="AM40" t="s">
        <v>1082</v>
      </c>
      <c r="AN40" t="s">
        <v>1082</v>
      </c>
      <c r="AO40" t="s">
        <v>1086</v>
      </c>
      <c r="AP40" t="s">
        <v>1102</v>
      </c>
      <c r="AQ40" t="s">
        <v>2540</v>
      </c>
    </row>
    <row r="41" spans="1:43" x14ac:dyDescent="0.25">
      <c r="A41" s="78" t="s">
        <v>1103</v>
      </c>
      <c r="B41" t="s">
        <v>1104</v>
      </c>
      <c r="C41" t="s">
        <v>1105</v>
      </c>
      <c r="D41" t="s">
        <v>2225</v>
      </c>
      <c r="E41" t="s">
        <v>1106</v>
      </c>
      <c r="F41" t="s">
        <v>1107</v>
      </c>
      <c r="G41" t="s">
        <v>1108</v>
      </c>
      <c r="H41" t="s">
        <v>1109</v>
      </c>
      <c r="I41" t="s">
        <v>1110</v>
      </c>
      <c r="J41" t="s">
        <v>1111</v>
      </c>
      <c r="K41" t="s">
        <v>1112</v>
      </c>
      <c r="L41" t="s">
        <v>1113</v>
      </c>
      <c r="M41" t="s">
        <v>1114</v>
      </c>
      <c r="N41" t="s">
        <v>1103</v>
      </c>
      <c r="O41" t="s">
        <v>2274</v>
      </c>
      <c r="P41" t="s">
        <v>1115</v>
      </c>
      <c r="Q41" t="s">
        <v>1116</v>
      </c>
      <c r="R41" t="s">
        <v>1117</v>
      </c>
      <c r="S41" t="s">
        <v>1118</v>
      </c>
      <c r="T41" t="s">
        <v>1119</v>
      </c>
      <c r="U41" t="s">
        <v>1103</v>
      </c>
      <c r="V41" t="s">
        <v>1120</v>
      </c>
      <c r="W41" t="s">
        <v>1121</v>
      </c>
      <c r="X41" t="s">
        <v>1122</v>
      </c>
      <c r="Y41" t="s">
        <v>1123</v>
      </c>
      <c r="Z41" t="s">
        <v>1124</v>
      </c>
      <c r="AA41" t="s">
        <v>1125</v>
      </c>
      <c r="AB41" t="s">
        <v>1126</v>
      </c>
      <c r="AC41" t="s">
        <v>1127</v>
      </c>
      <c r="AD41" t="s">
        <v>1108</v>
      </c>
      <c r="AE41" t="s">
        <v>1128</v>
      </c>
      <c r="AF41" t="s">
        <v>1107</v>
      </c>
      <c r="AG41" t="s">
        <v>1129</v>
      </c>
      <c r="AH41" t="s">
        <v>2271</v>
      </c>
      <c r="AI41" t="s">
        <v>1103</v>
      </c>
      <c r="AJ41" t="s">
        <v>1120</v>
      </c>
      <c r="AK41" t="s">
        <v>1125</v>
      </c>
      <c r="AL41" t="s">
        <v>1130</v>
      </c>
      <c r="AM41" t="s">
        <v>1106</v>
      </c>
      <c r="AN41" t="s">
        <v>1131</v>
      </c>
      <c r="AO41" t="s">
        <v>1132</v>
      </c>
      <c r="AP41" t="s">
        <v>1133</v>
      </c>
      <c r="AQ41" t="s">
        <v>2541</v>
      </c>
    </row>
    <row r="42" spans="1:43" x14ac:dyDescent="0.25">
      <c r="A42" s="78" t="s">
        <v>1134</v>
      </c>
      <c r="B42" t="s">
        <v>1135</v>
      </c>
      <c r="C42" t="s">
        <v>1136</v>
      </c>
      <c r="D42" t="s">
        <v>1137</v>
      </c>
      <c r="E42" t="s">
        <v>1134</v>
      </c>
      <c r="F42" t="s">
        <v>1138</v>
      </c>
      <c r="G42" t="s">
        <v>1134</v>
      </c>
      <c r="H42" t="s">
        <v>1139</v>
      </c>
      <c r="I42" t="s">
        <v>1139</v>
      </c>
      <c r="J42" t="s">
        <v>1134</v>
      </c>
      <c r="K42" t="s">
        <v>1134</v>
      </c>
      <c r="L42" t="s">
        <v>1134</v>
      </c>
      <c r="M42" t="s">
        <v>1140</v>
      </c>
      <c r="N42" t="s">
        <v>1141</v>
      </c>
      <c r="O42" t="s">
        <v>1142</v>
      </c>
      <c r="P42" t="s">
        <v>1143</v>
      </c>
      <c r="Q42" t="s">
        <v>1144</v>
      </c>
      <c r="R42" t="s">
        <v>1145</v>
      </c>
      <c r="S42" t="s">
        <v>1146</v>
      </c>
      <c r="T42" t="s">
        <v>1134</v>
      </c>
      <c r="U42" t="s">
        <v>1134</v>
      </c>
      <c r="V42" t="s">
        <v>1134</v>
      </c>
      <c r="W42" t="s">
        <v>1147</v>
      </c>
      <c r="X42" t="s">
        <v>1134</v>
      </c>
      <c r="Y42" t="s">
        <v>1148</v>
      </c>
      <c r="Z42" t="s">
        <v>1149</v>
      </c>
      <c r="AA42" t="s">
        <v>1134</v>
      </c>
      <c r="AB42" t="s">
        <v>1150</v>
      </c>
      <c r="AC42" t="s">
        <v>1151</v>
      </c>
      <c r="AD42" t="s">
        <v>1134</v>
      </c>
      <c r="AE42" t="s">
        <v>1134</v>
      </c>
      <c r="AF42" t="s">
        <v>1148</v>
      </c>
      <c r="AG42" t="s">
        <v>1148</v>
      </c>
      <c r="AH42" t="s">
        <v>1146</v>
      </c>
      <c r="AI42" t="s">
        <v>1134</v>
      </c>
      <c r="AJ42" t="s">
        <v>1134</v>
      </c>
      <c r="AK42" t="s">
        <v>1134</v>
      </c>
      <c r="AL42" t="s">
        <v>1152</v>
      </c>
      <c r="AM42" t="s">
        <v>1153</v>
      </c>
      <c r="AN42" t="s">
        <v>1134</v>
      </c>
      <c r="AO42" t="s">
        <v>1148</v>
      </c>
      <c r="AP42" t="s">
        <v>1154</v>
      </c>
      <c r="AQ42" t="s">
        <v>1134</v>
      </c>
    </row>
    <row r="43" spans="1:43" x14ac:dyDescent="0.25">
      <c r="A43" s="78" t="s">
        <v>1155</v>
      </c>
      <c r="B43" t="s">
        <v>1156</v>
      </c>
      <c r="C43" t="s">
        <v>1157</v>
      </c>
      <c r="D43" t="s">
        <v>1158</v>
      </c>
      <c r="E43" t="s">
        <v>1155</v>
      </c>
      <c r="F43" t="s">
        <v>1159</v>
      </c>
      <c r="G43" t="s">
        <v>1160</v>
      </c>
      <c r="H43" t="s">
        <v>1161</v>
      </c>
      <c r="I43" t="s">
        <v>1162</v>
      </c>
      <c r="J43" t="s">
        <v>1163</v>
      </c>
      <c r="K43" t="s">
        <v>1164</v>
      </c>
      <c r="L43" t="s">
        <v>1155</v>
      </c>
      <c r="M43" t="s">
        <v>1155</v>
      </c>
      <c r="N43" t="s">
        <v>1155</v>
      </c>
      <c r="O43" t="s">
        <v>1165</v>
      </c>
      <c r="P43" t="s">
        <v>1155</v>
      </c>
      <c r="Q43" t="s">
        <v>1166</v>
      </c>
      <c r="R43" t="s">
        <v>1167</v>
      </c>
      <c r="S43" t="s">
        <v>1168</v>
      </c>
      <c r="T43" t="s">
        <v>1155</v>
      </c>
      <c r="U43" t="s">
        <v>1169</v>
      </c>
      <c r="V43" t="s">
        <v>1155</v>
      </c>
      <c r="W43" t="s">
        <v>1170</v>
      </c>
      <c r="X43" t="s">
        <v>1163</v>
      </c>
      <c r="Y43" t="s">
        <v>1171</v>
      </c>
      <c r="Z43" t="s">
        <v>1172</v>
      </c>
      <c r="AA43" t="s">
        <v>1155</v>
      </c>
      <c r="AB43" t="s">
        <v>1173</v>
      </c>
      <c r="AC43" t="s">
        <v>1155</v>
      </c>
      <c r="AD43" t="s">
        <v>1168</v>
      </c>
      <c r="AE43" t="s">
        <v>1155</v>
      </c>
      <c r="AF43" t="s">
        <v>1159</v>
      </c>
      <c r="AG43" t="s">
        <v>1171</v>
      </c>
      <c r="AH43" t="s">
        <v>1168</v>
      </c>
      <c r="AI43" t="s">
        <v>1163</v>
      </c>
      <c r="AJ43" t="s">
        <v>1155</v>
      </c>
      <c r="AK43" t="s">
        <v>1155</v>
      </c>
      <c r="AL43" t="s">
        <v>1174</v>
      </c>
      <c r="AM43" t="s">
        <v>1175</v>
      </c>
      <c r="AN43" t="s">
        <v>1155</v>
      </c>
      <c r="AO43" t="s">
        <v>1176</v>
      </c>
      <c r="AP43" t="s">
        <v>1177</v>
      </c>
      <c r="AQ43" t="s">
        <v>2542</v>
      </c>
    </row>
    <row r="44" spans="1:43" x14ac:dyDescent="0.25">
      <c r="A44" s="78" t="s">
        <v>1178</v>
      </c>
      <c r="B44" t="s">
        <v>1178</v>
      </c>
      <c r="C44" t="s">
        <v>1179</v>
      </c>
      <c r="D44" t="s">
        <v>1180</v>
      </c>
      <c r="E44" t="s">
        <v>1181</v>
      </c>
      <c r="F44" t="s">
        <v>1182</v>
      </c>
      <c r="G44" t="s">
        <v>1183</v>
      </c>
      <c r="H44" t="s">
        <v>1184</v>
      </c>
      <c r="I44" t="s">
        <v>1185</v>
      </c>
      <c r="J44" t="s">
        <v>1186</v>
      </c>
      <c r="K44" t="s">
        <v>1187</v>
      </c>
      <c r="L44" t="s">
        <v>1188</v>
      </c>
      <c r="M44" t="s">
        <v>1189</v>
      </c>
      <c r="N44" t="s">
        <v>1190</v>
      </c>
      <c r="O44" t="s">
        <v>1191</v>
      </c>
      <c r="P44" t="s">
        <v>1192</v>
      </c>
      <c r="Q44" t="s">
        <v>1193</v>
      </c>
      <c r="R44" t="s">
        <v>1194</v>
      </c>
      <c r="S44" t="s">
        <v>1195</v>
      </c>
      <c r="T44" t="s">
        <v>1196</v>
      </c>
      <c r="U44" t="s">
        <v>1197</v>
      </c>
      <c r="V44" t="s">
        <v>1198</v>
      </c>
      <c r="W44" t="s">
        <v>1199</v>
      </c>
      <c r="X44" t="s">
        <v>1200</v>
      </c>
      <c r="Y44" t="s">
        <v>1201</v>
      </c>
      <c r="Z44" t="s">
        <v>1202</v>
      </c>
      <c r="AA44" t="s">
        <v>1203</v>
      </c>
      <c r="AB44" t="s">
        <v>1204</v>
      </c>
      <c r="AC44" t="s">
        <v>1205</v>
      </c>
      <c r="AD44" t="s">
        <v>1206</v>
      </c>
      <c r="AE44" t="s">
        <v>1207</v>
      </c>
      <c r="AF44" t="s">
        <v>1208</v>
      </c>
      <c r="AG44" t="s">
        <v>1209</v>
      </c>
      <c r="AH44" t="s">
        <v>2272</v>
      </c>
      <c r="AI44" t="s">
        <v>1186</v>
      </c>
      <c r="AJ44" t="s">
        <v>1183</v>
      </c>
      <c r="AK44" t="s">
        <v>1188</v>
      </c>
      <c r="AL44" t="s">
        <v>1210</v>
      </c>
      <c r="AM44" t="s">
        <v>1211</v>
      </c>
      <c r="AN44" t="s">
        <v>1212</v>
      </c>
      <c r="AO44" t="s">
        <v>1213</v>
      </c>
      <c r="AP44" t="s">
        <v>1214</v>
      </c>
      <c r="AQ44" t="s">
        <v>2543</v>
      </c>
    </row>
    <row r="45" spans="1:43" x14ac:dyDescent="0.25">
      <c r="A45" s="78" t="s">
        <v>2141</v>
      </c>
      <c r="B45" t="s">
        <v>2191</v>
      </c>
      <c r="C45" t="s">
        <v>2192</v>
      </c>
      <c r="D45" t="s">
        <v>2224</v>
      </c>
      <c r="E45" t="s">
        <v>2193</v>
      </c>
      <c r="F45" t="s">
        <v>2194</v>
      </c>
      <c r="G45" t="s">
        <v>2195</v>
      </c>
      <c r="H45" t="s">
        <v>2196</v>
      </c>
      <c r="I45" t="s">
        <v>2197</v>
      </c>
      <c r="J45" t="s">
        <v>2198</v>
      </c>
      <c r="K45" t="s">
        <v>2199</v>
      </c>
      <c r="L45" t="s">
        <v>2200</v>
      </c>
      <c r="M45" t="s">
        <v>2200</v>
      </c>
      <c r="N45" t="s">
        <v>2201</v>
      </c>
      <c r="O45" t="s">
        <v>2202</v>
      </c>
      <c r="P45" t="s">
        <v>2200</v>
      </c>
      <c r="Q45" t="s">
        <v>2203</v>
      </c>
      <c r="R45" t="s">
        <v>2204</v>
      </c>
      <c r="S45" t="s">
        <v>2205</v>
      </c>
      <c r="T45" t="s">
        <v>2206</v>
      </c>
      <c r="U45" t="s">
        <v>2141</v>
      </c>
      <c r="V45" t="s">
        <v>2207</v>
      </c>
      <c r="W45" t="s">
        <v>2208</v>
      </c>
      <c r="X45" t="s">
        <v>2209</v>
      </c>
      <c r="Y45" t="s">
        <v>2210</v>
      </c>
      <c r="Z45" t="s">
        <v>2211</v>
      </c>
      <c r="AA45" t="s">
        <v>2200</v>
      </c>
      <c r="AB45" t="s">
        <v>2212</v>
      </c>
      <c r="AC45" t="s">
        <v>2213</v>
      </c>
      <c r="AD45" t="s">
        <v>2214</v>
      </c>
      <c r="AE45" t="s">
        <v>2207</v>
      </c>
      <c r="AF45" t="s">
        <v>2215</v>
      </c>
      <c r="AG45" t="s">
        <v>2216</v>
      </c>
      <c r="AH45" t="s">
        <v>2217</v>
      </c>
      <c r="AI45" t="s">
        <v>2198</v>
      </c>
      <c r="AJ45" t="s">
        <v>2207</v>
      </c>
      <c r="AK45" t="s">
        <v>2218</v>
      </c>
      <c r="AL45" t="s">
        <v>2219</v>
      </c>
      <c r="AM45" t="s">
        <v>2220</v>
      </c>
      <c r="AN45" t="s">
        <v>2221</v>
      </c>
      <c r="AO45" t="s">
        <v>2222</v>
      </c>
      <c r="AP45" t="s">
        <v>2223</v>
      </c>
      <c r="AQ45" t="s">
        <v>2544</v>
      </c>
    </row>
    <row r="46" spans="1:43" x14ac:dyDescent="0.25">
      <c r="A46" s="78" t="s">
        <v>1215</v>
      </c>
      <c r="B46" t="s">
        <v>1216</v>
      </c>
      <c r="C46" t="s">
        <v>1217</v>
      </c>
      <c r="D46" t="s">
        <v>1218</v>
      </c>
      <c r="E46" t="s">
        <v>1219</v>
      </c>
      <c r="F46" t="s">
        <v>1220</v>
      </c>
      <c r="G46" t="s">
        <v>1221</v>
      </c>
      <c r="H46" t="s">
        <v>1222</v>
      </c>
      <c r="I46" t="s">
        <v>1223</v>
      </c>
      <c r="J46" t="s">
        <v>1224</v>
      </c>
      <c r="K46" t="s">
        <v>1225</v>
      </c>
      <c r="L46" t="s">
        <v>1215</v>
      </c>
      <c r="M46" t="s">
        <v>1226</v>
      </c>
      <c r="N46" t="s">
        <v>1227</v>
      </c>
      <c r="O46" t="s">
        <v>2275</v>
      </c>
      <c r="P46" t="s">
        <v>1215</v>
      </c>
      <c r="Q46" t="s">
        <v>1228</v>
      </c>
      <c r="R46" t="s">
        <v>1229</v>
      </c>
      <c r="S46" t="s">
        <v>1230</v>
      </c>
      <c r="T46" t="s">
        <v>1231</v>
      </c>
      <c r="U46" t="s">
        <v>1215</v>
      </c>
      <c r="V46" t="s">
        <v>1232</v>
      </c>
      <c r="W46" t="s">
        <v>1233</v>
      </c>
      <c r="X46" t="s">
        <v>1234</v>
      </c>
      <c r="Y46" t="s">
        <v>1235</v>
      </c>
      <c r="Z46" t="s">
        <v>1236</v>
      </c>
      <c r="AA46" t="s">
        <v>1215</v>
      </c>
      <c r="AB46" t="s">
        <v>1237</v>
      </c>
      <c r="AC46" t="s">
        <v>1230</v>
      </c>
      <c r="AD46" t="s">
        <v>1238</v>
      </c>
      <c r="AE46" t="s">
        <v>1230</v>
      </c>
      <c r="AF46" t="s">
        <v>1220</v>
      </c>
      <c r="AG46" t="s">
        <v>1239</v>
      </c>
      <c r="AH46" t="s">
        <v>1240</v>
      </c>
      <c r="AI46" t="s">
        <v>1234</v>
      </c>
      <c r="AJ46" t="s">
        <v>1238</v>
      </c>
      <c r="AK46" t="s">
        <v>1215</v>
      </c>
      <c r="AL46" t="s">
        <v>1241</v>
      </c>
      <c r="AM46" t="s">
        <v>1242</v>
      </c>
      <c r="AN46" t="s">
        <v>1243</v>
      </c>
      <c r="AO46" t="s">
        <v>1244</v>
      </c>
      <c r="AP46" t="s">
        <v>1245</v>
      </c>
      <c r="AQ46" t="s">
        <v>2545</v>
      </c>
    </row>
    <row r="47" spans="1:43" x14ac:dyDescent="0.25">
      <c r="A47" s="78" t="s">
        <v>2137</v>
      </c>
      <c r="B47" t="s">
        <v>2137</v>
      </c>
      <c r="C47" t="s">
        <v>2226</v>
      </c>
      <c r="D47" t="s">
        <v>2227</v>
      </c>
      <c r="E47" t="s">
        <v>2228</v>
      </c>
      <c r="F47" t="s">
        <v>2229</v>
      </c>
      <c r="G47" t="s">
        <v>2230</v>
      </c>
      <c r="H47" t="s">
        <v>2231</v>
      </c>
      <c r="I47" t="s">
        <v>2232</v>
      </c>
      <c r="J47" t="s">
        <v>2233</v>
      </c>
      <c r="K47" t="s">
        <v>2234</v>
      </c>
      <c r="L47" t="s">
        <v>2235</v>
      </c>
      <c r="M47" t="s">
        <v>2236</v>
      </c>
      <c r="N47" t="s">
        <v>2237</v>
      </c>
      <c r="O47" t="s">
        <v>2238</v>
      </c>
      <c r="P47" t="s">
        <v>2235</v>
      </c>
      <c r="Q47" t="s">
        <v>2239</v>
      </c>
      <c r="R47" t="s">
        <v>2240</v>
      </c>
      <c r="S47" t="s">
        <v>2241</v>
      </c>
      <c r="T47" t="s">
        <v>2137</v>
      </c>
      <c r="U47" t="s">
        <v>2242</v>
      </c>
      <c r="V47" t="s">
        <v>2137</v>
      </c>
      <c r="W47" t="s">
        <v>2243</v>
      </c>
      <c r="X47" t="s">
        <v>2244</v>
      </c>
      <c r="Y47" t="s">
        <v>2245</v>
      </c>
      <c r="Z47" t="s">
        <v>2246</v>
      </c>
      <c r="AA47" t="s">
        <v>2137</v>
      </c>
      <c r="AB47" t="s">
        <v>2247</v>
      </c>
      <c r="AC47" t="s">
        <v>2137</v>
      </c>
      <c r="AD47" t="s">
        <v>2248</v>
      </c>
      <c r="AE47" t="s">
        <v>2137</v>
      </c>
      <c r="AF47" t="s">
        <v>2249</v>
      </c>
      <c r="AG47" t="s">
        <v>2245</v>
      </c>
      <c r="AH47" t="s">
        <v>2234</v>
      </c>
      <c r="AI47" t="s">
        <v>2233</v>
      </c>
      <c r="AJ47" t="s">
        <v>2137</v>
      </c>
      <c r="AK47" t="s">
        <v>2235</v>
      </c>
      <c r="AL47" t="s">
        <v>2250</v>
      </c>
      <c r="AM47" t="s">
        <v>2251</v>
      </c>
      <c r="AN47" t="s">
        <v>2137</v>
      </c>
      <c r="AO47" t="s">
        <v>2252</v>
      </c>
      <c r="AP47" t="s">
        <v>2253</v>
      </c>
      <c r="AQ47" t="s">
        <v>2228</v>
      </c>
    </row>
    <row r="48" spans="1:43" x14ac:dyDescent="0.25">
      <c r="A48" s="78" t="s">
        <v>2134</v>
      </c>
      <c r="B48" t="s">
        <v>2134</v>
      </c>
      <c r="C48" t="s">
        <v>2254</v>
      </c>
      <c r="D48" t="s">
        <v>2255</v>
      </c>
      <c r="E48" t="s">
        <v>2134</v>
      </c>
      <c r="F48" t="s">
        <v>2256</v>
      </c>
      <c r="G48" t="s">
        <v>2257</v>
      </c>
      <c r="H48" t="s">
        <v>2258</v>
      </c>
      <c r="I48" t="s">
        <v>2259</v>
      </c>
      <c r="J48" t="s">
        <v>2134</v>
      </c>
      <c r="K48" t="s">
        <v>2134</v>
      </c>
      <c r="L48" t="s">
        <v>2134</v>
      </c>
      <c r="M48" t="s">
        <v>2134</v>
      </c>
      <c r="N48" t="s">
        <v>2260</v>
      </c>
      <c r="O48" t="s">
        <v>2276</v>
      </c>
      <c r="P48" t="s">
        <v>2134</v>
      </c>
      <c r="Q48" t="s">
        <v>2261</v>
      </c>
      <c r="R48" t="s">
        <v>2262</v>
      </c>
      <c r="S48" t="s">
        <v>2134</v>
      </c>
      <c r="T48" t="s">
        <v>2134</v>
      </c>
      <c r="U48" t="s">
        <v>2134</v>
      </c>
      <c r="V48" t="s">
        <v>2264</v>
      </c>
      <c r="W48" t="s">
        <v>2265</v>
      </c>
      <c r="X48" t="s">
        <v>2134</v>
      </c>
      <c r="Y48" t="s">
        <v>2256</v>
      </c>
      <c r="Z48" t="s">
        <v>2264</v>
      </c>
      <c r="AA48" t="s">
        <v>2134</v>
      </c>
      <c r="AB48" t="s">
        <v>2266</v>
      </c>
      <c r="AC48" t="s">
        <v>2134</v>
      </c>
      <c r="AD48" t="s">
        <v>2134</v>
      </c>
      <c r="AE48" t="s">
        <v>2134</v>
      </c>
      <c r="AF48" t="s">
        <v>2256</v>
      </c>
      <c r="AG48" t="s">
        <v>2256</v>
      </c>
      <c r="AH48" t="s">
        <v>2134</v>
      </c>
      <c r="AI48" t="s">
        <v>2134</v>
      </c>
      <c r="AJ48" t="s">
        <v>2257</v>
      </c>
      <c r="AK48" t="s">
        <v>2263</v>
      </c>
      <c r="AL48" t="s">
        <v>2267</v>
      </c>
      <c r="AM48" t="s">
        <v>2134</v>
      </c>
      <c r="AN48" t="s">
        <v>2134</v>
      </c>
      <c r="AO48" t="s">
        <v>2256</v>
      </c>
      <c r="AP48" t="s">
        <v>2268</v>
      </c>
      <c r="AQ48" t="s">
        <v>2134</v>
      </c>
    </row>
    <row r="49" spans="1:43" x14ac:dyDescent="0.25">
      <c r="A49" s="78" t="s">
        <v>1246</v>
      </c>
      <c r="B49" t="s">
        <v>1247</v>
      </c>
      <c r="C49" t="s">
        <v>1248</v>
      </c>
      <c r="D49" t="s">
        <v>1249</v>
      </c>
      <c r="E49" t="s">
        <v>1250</v>
      </c>
      <c r="F49" t="s">
        <v>1251</v>
      </c>
      <c r="G49" t="s">
        <v>1252</v>
      </c>
      <c r="H49" t="s">
        <v>1253</v>
      </c>
      <c r="I49" t="s">
        <v>1254</v>
      </c>
      <c r="J49" t="s">
        <v>1255</v>
      </c>
      <c r="K49" t="s">
        <v>1256</v>
      </c>
      <c r="L49" t="s">
        <v>1257</v>
      </c>
      <c r="M49" t="s">
        <v>1257</v>
      </c>
      <c r="N49" t="s">
        <v>1258</v>
      </c>
      <c r="O49" t="s">
        <v>1259</v>
      </c>
      <c r="P49" t="s">
        <v>1260</v>
      </c>
      <c r="Q49" t="s">
        <v>1261</v>
      </c>
      <c r="R49" t="s">
        <v>1262</v>
      </c>
      <c r="S49" t="s">
        <v>1263</v>
      </c>
      <c r="T49" t="s">
        <v>1264</v>
      </c>
      <c r="U49" t="s">
        <v>1246</v>
      </c>
      <c r="V49" t="s">
        <v>1246</v>
      </c>
      <c r="W49" t="s">
        <v>1265</v>
      </c>
      <c r="X49" t="s">
        <v>1255</v>
      </c>
      <c r="Y49" t="s">
        <v>1266</v>
      </c>
      <c r="Z49" t="s">
        <v>1267</v>
      </c>
      <c r="AA49" t="s">
        <v>1260</v>
      </c>
      <c r="AB49" t="s">
        <v>1268</v>
      </c>
      <c r="AC49" t="s">
        <v>1269</v>
      </c>
      <c r="AD49" t="s">
        <v>1252</v>
      </c>
      <c r="AE49" t="s">
        <v>1264</v>
      </c>
      <c r="AF49" t="s">
        <v>1270</v>
      </c>
      <c r="AG49" t="s">
        <v>1266</v>
      </c>
      <c r="AH49" t="s">
        <v>1256</v>
      </c>
      <c r="AI49" t="s">
        <v>1255</v>
      </c>
      <c r="AJ49" t="s">
        <v>1264</v>
      </c>
      <c r="AK49" t="s">
        <v>1271</v>
      </c>
      <c r="AL49" t="s">
        <v>1272</v>
      </c>
      <c r="AM49" t="s">
        <v>1273</v>
      </c>
      <c r="AN49" t="s">
        <v>1274</v>
      </c>
      <c r="AO49" t="s">
        <v>1275</v>
      </c>
      <c r="AP49" t="s">
        <v>1276</v>
      </c>
      <c r="AQ49" t="s">
        <v>2546</v>
      </c>
    </row>
    <row r="50" spans="1:43" x14ac:dyDescent="0.25">
      <c r="A50" s="78" t="s">
        <v>1277</v>
      </c>
      <c r="B50" t="s">
        <v>1278</v>
      </c>
      <c r="C50" t="s">
        <v>1279</v>
      </c>
      <c r="D50" t="s">
        <v>1280</v>
      </c>
      <c r="E50" t="s">
        <v>1281</v>
      </c>
      <c r="F50" t="s">
        <v>1282</v>
      </c>
      <c r="G50" t="s">
        <v>1283</v>
      </c>
      <c r="H50" t="s">
        <v>1284</v>
      </c>
      <c r="I50" t="s">
        <v>1285</v>
      </c>
      <c r="J50" t="s">
        <v>1286</v>
      </c>
      <c r="K50" t="s">
        <v>1287</v>
      </c>
      <c r="L50" t="s">
        <v>1288</v>
      </c>
      <c r="M50" t="s">
        <v>1289</v>
      </c>
      <c r="N50" t="s">
        <v>1290</v>
      </c>
      <c r="O50" t="s">
        <v>2277</v>
      </c>
      <c r="P50" t="s">
        <v>1291</v>
      </c>
      <c r="Q50" t="s">
        <v>1292</v>
      </c>
      <c r="R50" t="s">
        <v>1293</v>
      </c>
      <c r="S50" t="s">
        <v>1294</v>
      </c>
      <c r="T50" t="s">
        <v>1295</v>
      </c>
      <c r="U50" t="s">
        <v>1296</v>
      </c>
      <c r="V50" t="s">
        <v>1297</v>
      </c>
      <c r="W50" t="s">
        <v>1298</v>
      </c>
      <c r="X50" t="s">
        <v>1299</v>
      </c>
      <c r="Y50" t="s">
        <v>1300</v>
      </c>
      <c r="Z50" t="s">
        <v>1301</v>
      </c>
      <c r="AA50" t="s">
        <v>1288</v>
      </c>
      <c r="AB50" t="s">
        <v>1302</v>
      </c>
      <c r="AC50" t="s">
        <v>1303</v>
      </c>
      <c r="AD50" t="s">
        <v>1304</v>
      </c>
      <c r="AE50" t="s">
        <v>1297</v>
      </c>
      <c r="AF50" t="s">
        <v>1282</v>
      </c>
      <c r="AG50" t="s">
        <v>1305</v>
      </c>
      <c r="AH50" t="s">
        <v>2269</v>
      </c>
      <c r="AI50" t="s">
        <v>1306</v>
      </c>
      <c r="AJ50" t="s">
        <v>1307</v>
      </c>
      <c r="AK50" t="s">
        <v>1288</v>
      </c>
      <c r="AL50" t="s">
        <v>1308</v>
      </c>
      <c r="AM50" t="s">
        <v>1309</v>
      </c>
      <c r="AN50" t="s">
        <v>1310</v>
      </c>
      <c r="AO50" t="s">
        <v>1311</v>
      </c>
      <c r="AP50" t="s">
        <v>1312</v>
      </c>
      <c r="AQ50" t="s">
        <v>2547</v>
      </c>
    </row>
    <row r="51" spans="1:43" x14ac:dyDescent="0.25">
      <c r="A51" s="78" t="s">
        <v>1313</v>
      </c>
      <c r="B51" t="s">
        <v>1314</v>
      </c>
      <c r="C51" t="s">
        <v>1315</v>
      </c>
      <c r="D51" t="s">
        <v>1316</v>
      </c>
      <c r="E51" t="s">
        <v>1317</v>
      </c>
      <c r="F51" t="s">
        <v>1318</v>
      </c>
      <c r="G51" t="s">
        <v>1319</v>
      </c>
      <c r="H51" t="s">
        <v>1320</v>
      </c>
      <c r="I51" t="s">
        <v>1321</v>
      </c>
      <c r="J51" t="s">
        <v>1322</v>
      </c>
      <c r="K51" t="s">
        <v>1323</v>
      </c>
      <c r="L51" t="s">
        <v>1324</v>
      </c>
      <c r="M51" t="s">
        <v>1325</v>
      </c>
      <c r="N51" t="s">
        <v>1326</v>
      </c>
      <c r="O51" t="s">
        <v>1327</v>
      </c>
      <c r="P51" t="s">
        <v>1324</v>
      </c>
      <c r="Q51" t="s">
        <v>1328</v>
      </c>
      <c r="R51" t="s">
        <v>1329</v>
      </c>
      <c r="S51" t="s">
        <v>1330</v>
      </c>
      <c r="T51" t="s">
        <v>1313</v>
      </c>
      <c r="U51" t="s">
        <v>1313</v>
      </c>
      <c r="V51" t="s">
        <v>1313</v>
      </c>
      <c r="W51" t="s">
        <v>1331</v>
      </c>
      <c r="X51" t="s">
        <v>1322</v>
      </c>
      <c r="Y51" t="s">
        <v>1332</v>
      </c>
      <c r="Z51" t="s">
        <v>1333</v>
      </c>
      <c r="AA51" t="s">
        <v>1313</v>
      </c>
      <c r="AB51" t="s">
        <v>1334</v>
      </c>
      <c r="AC51" t="s">
        <v>1313</v>
      </c>
      <c r="AD51" t="s">
        <v>1335</v>
      </c>
      <c r="AE51" t="s">
        <v>1313</v>
      </c>
      <c r="AF51" t="s">
        <v>1318</v>
      </c>
      <c r="AG51" t="s">
        <v>1336</v>
      </c>
      <c r="AH51" t="s">
        <v>1335</v>
      </c>
      <c r="AI51" t="s">
        <v>1337</v>
      </c>
      <c r="AJ51" t="s">
        <v>1313</v>
      </c>
      <c r="AK51" t="s">
        <v>1324</v>
      </c>
      <c r="AL51" t="s">
        <v>1338</v>
      </c>
      <c r="AM51" t="s">
        <v>1339</v>
      </c>
      <c r="AN51" t="s">
        <v>1340</v>
      </c>
      <c r="AO51" t="s">
        <v>1341</v>
      </c>
      <c r="AP51" t="s">
        <v>1342</v>
      </c>
      <c r="AQ51" t="s">
        <v>1317</v>
      </c>
    </row>
    <row r="52" spans="1:43" x14ac:dyDescent="0.25">
      <c r="A52" s="78" t="s">
        <v>1343</v>
      </c>
      <c r="B52" t="s">
        <v>1344</v>
      </c>
      <c r="C52" t="s">
        <v>1345</v>
      </c>
      <c r="D52" t="s">
        <v>1346</v>
      </c>
      <c r="E52" t="s">
        <v>1347</v>
      </c>
      <c r="F52" t="s">
        <v>1348</v>
      </c>
      <c r="G52" t="s">
        <v>1349</v>
      </c>
      <c r="H52" t="s">
        <v>1350</v>
      </c>
      <c r="I52" t="s">
        <v>1351</v>
      </c>
      <c r="J52" t="s">
        <v>1352</v>
      </c>
      <c r="K52" t="s">
        <v>1353</v>
      </c>
      <c r="L52" t="s">
        <v>1343</v>
      </c>
      <c r="M52" t="s">
        <v>1343</v>
      </c>
      <c r="N52" t="s">
        <v>1354</v>
      </c>
      <c r="O52" t="s">
        <v>2278</v>
      </c>
      <c r="P52" t="s">
        <v>1355</v>
      </c>
      <c r="Q52" t="s">
        <v>1356</v>
      </c>
      <c r="R52" t="s">
        <v>1357</v>
      </c>
      <c r="S52" t="s">
        <v>1343</v>
      </c>
      <c r="T52" t="s">
        <v>1358</v>
      </c>
      <c r="U52" t="s">
        <v>1343</v>
      </c>
      <c r="V52" t="s">
        <v>1343</v>
      </c>
      <c r="W52" t="s">
        <v>1359</v>
      </c>
      <c r="X52" t="s">
        <v>1352</v>
      </c>
      <c r="Y52" t="s">
        <v>1360</v>
      </c>
      <c r="Z52" t="s">
        <v>1361</v>
      </c>
      <c r="AA52" t="s">
        <v>1343</v>
      </c>
      <c r="AB52" t="s">
        <v>1362</v>
      </c>
      <c r="AC52" t="s">
        <v>1358</v>
      </c>
      <c r="AD52" t="s">
        <v>1363</v>
      </c>
      <c r="AE52" t="s">
        <v>1364</v>
      </c>
      <c r="AF52" t="s">
        <v>1348</v>
      </c>
      <c r="AG52" t="s">
        <v>1360</v>
      </c>
      <c r="AH52" t="s">
        <v>1358</v>
      </c>
      <c r="AI52" t="s">
        <v>1352</v>
      </c>
      <c r="AJ52" t="s">
        <v>1343</v>
      </c>
      <c r="AK52" t="s">
        <v>1343</v>
      </c>
      <c r="AL52" t="s">
        <v>1365</v>
      </c>
      <c r="AM52" t="s">
        <v>1366</v>
      </c>
      <c r="AN52" t="s">
        <v>1343</v>
      </c>
      <c r="AO52" t="s">
        <v>1367</v>
      </c>
      <c r="AP52" t="s">
        <v>1368</v>
      </c>
      <c r="AQ52" t="s">
        <v>1347</v>
      </c>
    </row>
    <row r="53" spans="1:43" x14ac:dyDescent="0.25">
      <c r="A53" s="78" t="s">
        <v>2135</v>
      </c>
      <c r="B53" t="s">
        <v>2279</v>
      </c>
      <c r="C53" t="s">
        <v>2280</v>
      </c>
      <c r="D53" t="s">
        <v>2281</v>
      </c>
      <c r="E53" t="s">
        <v>2282</v>
      </c>
      <c r="F53" t="s">
        <v>2283</v>
      </c>
      <c r="G53" t="s">
        <v>2284</v>
      </c>
      <c r="H53" t="s">
        <v>2285</v>
      </c>
      <c r="I53" t="s">
        <v>2286</v>
      </c>
      <c r="J53" t="s">
        <v>2287</v>
      </c>
      <c r="K53" t="s">
        <v>2288</v>
      </c>
      <c r="L53" t="s">
        <v>2289</v>
      </c>
      <c r="M53" t="s">
        <v>2290</v>
      </c>
      <c r="N53" t="s">
        <v>2291</v>
      </c>
      <c r="O53" t="s">
        <v>2292</v>
      </c>
      <c r="P53" t="s">
        <v>2293</v>
      </c>
      <c r="Q53" t="s">
        <v>2294</v>
      </c>
      <c r="R53" t="s">
        <v>2295</v>
      </c>
      <c r="S53" t="s">
        <v>2296</v>
      </c>
      <c r="T53" t="s">
        <v>2135</v>
      </c>
      <c r="U53" t="s">
        <v>2135</v>
      </c>
      <c r="V53" t="s">
        <v>2297</v>
      </c>
      <c r="W53" t="s">
        <v>2298</v>
      </c>
      <c r="X53" t="s">
        <v>2299</v>
      </c>
      <c r="Y53" t="s">
        <v>2300</v>
      </c>
      <c r="Z53" t="s">
        <v>2282</v>
      </c>
      <c r="AA53" t="s">
        <v>2289</v>
      </c>
      <c r="AB53" t="s">
        <v>2301</v>
      </c>
      <c r="AC53" t="s">
        <v>2302</v>
      </c>
      <c r="AD53" t="s">
        <v>2284</v>
      </c>
      <c r="AE53" t="s">
        <v>2303</v>
      </c>
      <c r="AF53" t="s">
        <v>2283</v>
      </c>
      <c r="AG53" t="s">
        <v>2300</v>
      </c>
      <c r="AH53" t="s">
        <v>2288</v>
      </c>
      <c r="AI53" t="s">
        <v>2287</v>
      </c>
      <c r="AJ53" t="s">
        <v>2284</v>
      </c>
      <c r="AK53" t="s">
        <v>2289</v>
      </c>
      <c r="AL53" t="s">
        <v>2304</v>
      </c>
      <c r="AM53" t="s">
        <v>2282</v>
      </c>
      <c r="AN53" t="s">
        <v>2305</v>
      </c>
      <c r="AO53" t="s">
        <v>2306</v>
      </c>
      <c r="AP53" t="s">
        <v>2307</v>
      </c>
      <c r="AQ53" t="s">
        <v>2548</v>
      </c>
    </row>
    <row r="54" spans="1:43" x14ac:dyDescent="0.25">
      <c r="A54" s="78" t="s">
        <v>2138</v>
      </c>
      <c r="B54" t="s">
        <v>2308</v>
      </c>
      <c r="C54" t="s">
        <v>2309</v>
      </c>
      <c r="D54" t="s">
        <v>2310</v>
      </c>
      <c r="E54" t="s">
        <v>2311</v>
      </c>
      <c r="F54" t="s">
        <v>2312</v>
      </c>
      <c r="G54" t="s">
        <v>2313</v>
      </c>
      <c r="H54" t="s">
        <v>2314</v>
      </c>
      <c r="I54" t="s">
        <v>2314</v>
      </c>
      <c r="J54" t="s">
        <v>2315</v>
      </c>
      <c r="K54" t="s">
        <v>2316</v>
      </c>
      <c r="L54" t="s">
        <v>2317</v>
      </c>
      <c r="M54" t="s">
        <v>2318</v>
      </c>
      <c r="N54" t="s">
        <v>2319</v>
      </c>
      <c r="O54" t="s">
        <v>2320</v>
      </c>
      <c r="P54" t="s">
        <v>2321</v>
      </c>
      <c r="Q54" t="s">
        <v>2322</v>
      </c>
      <c r="R54" t="s">
        <v>2323</v>
      </c>
      <c r="S54" t="s">
        <v>2324</v>
      </c>
      <c r="T54" t="s">
        <v>2325</v>
      </c>
      <c r="U54" t="s">
        <v>2326</v>
      </c>
      <c r="V54" t="s">
        <v>2327</v>
      </c>
      <c r="W54" t="s">
        <v>2328</v>
      </c>
      <c r="X54" t="s">
        <v>2329</v>
      </c>
      <c r="Y54" t="s">
        <v>2330</v>
      </c>
      <c r="Z54" t="s">
        <v>2442</v>
      </c>
      <c r="AA54" t="s">
        <v>2317</v>
      </c>
      <c r="AB54" t="s">
        <v>2331</v>
      </c>
      <c r="AC54" t="s">
        <v>2332</v>
      </c>
      <c r="AD54" t="s">
        <v>2333</v>
      </c>
      <c r="AE54" t="s">
        <v>2334</v>
      </c>
      <c r="AF54" t="s">
        <v>2312</v>
      </c>
      <c r="AG54" t="s">
        <v>2330</v>
      </c>
      <c r="AH54" t="s">
        <v>2316</v>
      </c>
      <c r="AI54" t="s">
        <v>2315</v>
      </c>
      <c r="AJ54" t="s">
        <v>2335</v>
      </c>
      <c r="AK54" t="s">
        <v>2317</v>
      </c>
      <c r="AL54" t="s">
        <v>2336</v>
      </c>
      <c r="AM54" t="s">
        <v>2311</v>
      </c>
      <c r="AN54" t="s">
        <v>2337</v>
      </c>
      <c r="AO54" t="s">
        <v>2338</v>
      </c>
      <c r="AP54" t="s">
        <v>2339</v>
      </c>
      <c r="AQ54" t="s">
        <v>2549</v>
      </c>
    </row>
    <row r="55" spans="1:43" x14ac:dyDescent="0.25">
      <c r="A55" s="78" t="s">
        <v>1369</v>
      </c>
      <c r="B55" t="s">
        <v>1370</v>
      </c>
      <c r="C55" t="s">
        <v>1371</v>
      </c>
      <c r="D55" t="s">
        <v>1372</v>
      </c>
      <c r="E55" t="s">
        <v>1369</v>
      </c>
      <c r="F55" t="s">
        <v>1369</v>
      </c>
      <c r="G55" t="s">
        <v>1369</v>
      </c>
      <c r="H55" t="s">
        <v>1373</v>
      </c>
      <c r="I55" t="s">
        <v>1374</v>
      </c>
      <c r="J55" t="s">
        <v>1375</v>
      </c>
      <c r="K55" t="s">
        <v>1375</v>
      </c>
      <c r="L55" t="s">
        <v>1369</v>
      </c>
      <c r="M55" t="s">
        <v>1369</v>
      </c>
      <c r="N55" t="s">
        <v>1369</v>
      </c>
      <c r="O55" t="s">
        <v>1376</v>
      </c>
      <c r="P55" t="s">
        <v>1369</v>
      </c>
      <c r="Q55" t="s">
        <v>1377</v>
      </c>
      <c r="R55" t="s">
        <v>1378</v>
      </c>
      <c r="S55" t="s">
        <v>1369</v>
      </c>
      <c r="T55" t="s">
        <v>1379</v>
      </c>
      <c r="U55" t="s">
        <v>1369</v>
      </c>
      <c r="V55" t="s">
        <v>1380</v>
      </c>
      <c r="W55" t="s">
        <v>1381</v>
      </c>
      <c r="X55" t="s">
        <v>1379</v>
      </c>
      <c r="Y55" t="s">
        <v>1382</v>
      </c>
      <c r="Z55" t="s">
        <v>1369</v>
      </c>
      <c r="AA55" t="s">
        <v>1369</v>
      </c>
      <c r="AB55" t="s">
        <v>1383</v>
      </c>
      <c r="AC55" t="s">
        <v>1384</v>
      </c>
      <c r="AD55" t="s">
        <v>1369</v>
      </c>
      <c r="AE55" t="s">
        <v>1369</v>
      </c>
      <c r="AF55" t="s">
        <v>1385</v>
      </c>
      <c r="AG55" t="s">
        <v>1386</v>
      </c>
      <c r="AH55" t="s">
        <v>1375</v>
      </c>
      <c r="AI55" t="s">
        <v>1369</v>
      </c>
      <c r="AJ55" t="s">
        <v>1369</v>
      </c>
      <c r="AK55" t="s">
        <v>1387</v>
      </c>
      <c r="AL55" t="s">
        <v>1388</v>
      </c>
      <c r="AM55" t="s">
        <v>1375</v>
      </c>
      <c r="AN55" t="s">
        <v>1369</v>
      </c>
      <c r="AO55" t="s">
        <v>1389</v>
      </c>
      <c r="AP55" t="s">
        <v>1390</v>
      </c>
      <c r="AQ55" t="s">
        <v>2550</v>
      </c>
    </row>
    <row r="56" spans="1:43" x14ac:dyDescent="0.25">
      <c r="A56" s="78" t="s">
        <v>1391</v>
      </c>
      <c r="B56" t="s">
        <v>1392</v>
      </c>
      <c r="C56" t="s">
        <v>1393</v>
      </c>
      <c r="D56" t="s">
        <v>1394</v>
      </c>
      <c r="E56" t="s">
        <v>1395</v>
      </c>
      <c r="F56" t="s">
        <v>1396</v>
      </c>
      <c r="G56" t="s">
        <v>1397</v>
      </c>
      <c r="H56" t="s">
        <v>1398</v>
      </c>
      <c r="I56" t="s">
        <v>1398</v>
      </c>
      <c r="J56" t="s">
        <v>1391</v>
      </c>
      <c r="K56" t="s">
        <v>1399</v>
      </c>
      <c r="L56" t="s">
        <v>1391</v>
      </c>
      <c r="M56" t="s">
        <v>1391</v>
      </c>
      <c r="N56" t="s">
        <v>1400</v>
      </c>
      <c r="O56" t="s">
        <v>1401</v>
      </c>
      <c r="P56" t="s">
        <v>1391</v>
      </c>
      <c r="Q56" t="s">
        <v>1402</v>
      </c>
      <c r="R56" t="s">
        <v>1403</v>
      </c>
      <c r="S56" t="s">
        <v>1404</v>
      </c>
      <c r="T56" t="s">
        <v>1405</v>
      </c>
      <c r="U56" t="s">
        <v>1391</v>
      </c>
      <c r="V56" t="s">
        <v>1406</v>
      </c>
      <c r="W56" t="s">
        <v>1407</v>
      </c>
      <c r="X56" t="s">
        <v>1408</v>
      </c>
      <c r="Y56" t="s">
        <v>1409</v>
      </c>
      <c r="Z56" t="s">
        <v>1410</v>
      </c>
      <c r="AA56" t="s">
        <v>1391</v>
      </c>
      <c r="AB56" t="s">
        <v>1411</v>
      </c>
      <c r="AC56" t="s">
        <v>1392</v>
      </c>
      <c r="AD56" t="s">
        <v>1412</v>
      </c>
      <c r="AE56" t="s">
        <v>1392</v>
      </c>
      <c r="AF56" t="s">
        <v>1396</v>
      </c>
      <c r="AG56" t="s">
        <v>1391</v>
      </c>
      <c r="AH56" t="s">
        <v>1399</v>
      </c>
      <c r="AI56" t="s">
        <v>1413</v>
      </c>
      <c r="AJ56" t="s">
        <v>1414</v>
      </c>
      <c r="AK56" t="s">
        <v>1391</v>
      </c>
      <c r="AL56" t="s">
        <v>1415</v>
      </c>
      <c r="AM56" t="s">
        <v>1416</v>
      </c>
      <c r="AN56" t="s">
        <v>1417</v>
      </c>
      <c r="AO56" t="s">
        <v>1418</v>
      </c>
      <c r="AP56" t="s">
        <v>1419</v>
      </c>
      <c r="AQ56" t="s">
        <v>1395</v>
      </c>
    </row>
    <row r="57" spans="1:43" x14ac:dyDescent="0.25">
      <c r="A57" s="78" t="s">
        <v>2136</v>
      </c>
      <c r="B57" t="s">
        <v>2340</v>
      </c>
      <c r="C57" t="s">
        <v>2341</v>
      </c>
      <c r="D57" t="s">
        <v>2342</v>
      </c>
      <c r="E57" t="s">
        <v>2343</v>
      </c>
      <c r="F57" t="s">
        <v>2344</v>
      </c>
      <c r="G57" t="s">
        <v>2345</v>
      </c>
      <c r="H57" t="s">
        <v>2346</v>
      </c>
      <c r="I57" t="s">
        <v>2347</v>
      </c>
      <c r="J57" t="s">
        <v>2348</v>
      </c>
      <c r="K57" t="s">
        <v>2348</v>
      </c>
      <c r="L57" t="s">
        <v>2348</v>
      </c>
      <c r="M57" t="s">
        <v>2349</v>
      </c>
      <c r="N57" t="s">
        <v>2350</v>
      </c>
      <c r="O57" t="s">
        <v>2351</v>
      </c>
      <c r="P57" t="s">
        <v>2348</v>
      </c>
      <c r="Q57" t="s">
        <v>2352</v>
      </c>
      <c r="R57" t="s">
        <v>2353</v>
      </c>
      <c r="S57" t="s">
        <v>2354</v>
      </c>
      <c r="T57" t="s">
        <v>2355</v>
      </c>
      <c r="U57" t="s">
        <v>2356</v>
      </c>
      <c r="V57" t="s">
        <v>2357</v>
      </c>
      <c r="W57" t="s">
        <v>2358</v>
      </c>
      <c r="X57" t="s">
        <v>2359</v>
      </c>
      <c r="Y57" t="s">
        <v>2360</v>
      </c>
      <c r="Z57" t="s">
        <v>2357</v>
      </c>
      <c r="AA57" t="s">
        <v>2348</v>
      </c>
      <c r="AB57" t="s">
        <v>2361</v>
      </c>
      <c r="AC57" t="s">
        <v>2355</v>
      </c>
      <c r="AD57" t="s">
        <v>2362</v>
      </c>
      <c r="AE57" t="s">
        <v>2357</v>
      </c>
      <c r="AF57" t="s">
        <v>2344</v>
      </c>
      <c r="AG57" t="s">
        <v>2360</v>
      </c>
      <c r="AH57" t="s">
        <v>2348</v>
      </c>
      <c r="AI57" t="s">
        <v>2359</v>
      </c>
      <c r="AJ57" t="s">
        <v>2355</v>
      </c>
      <c r="AK57" t="s">
        <v>2348</v>
      </c>
      <c r="AL57" t="s">
        <v>2363</v>
      </c>
      <c r="AM57" t="s">
        <v>2364</v>
      </c>
      <c r="AN57" t="s">
        <v>2136</v>
      </c>
      <c r="AO57" t="s">
        <v>2365</v>
      </c>
      <c r="AP57" t="s">
        <v>2366</v>
      </c>
      <c r="AQ57" t="s">
        <v>2551</v>
      </c>
    </row>
    <row r="58" spans="1:43" x14ac:dyDescent="0.25">
      <c r="A58" s="78" t="s">
        <v>2142</v>
      </c>
      <c r="B58" t="s">
        <v>2142</v>
      </c>
      <c r="C58" t="s">
        <v>2367</v>
      </c>
      <c r="D58" t="s">
        <v>2368</v>
      </c>
      <c r="E58" t="s">
        <v>2369</v>
      </c>
      <c r="F58" t="s">
        <v>2370</v>
      </c>
      <c r="G58" t="s">
        <v>2142</v>
      </c>
      <c r="H58" t="s">
        <v>2371</v>
      </c>
      <c r="I58" t="s">
        <v>2372</v>
      </c>
      <c r="J58" t="s">
        <v>2142</v>
      </c>
      <c r="K58" t="s">
        <v>2142</v>
      </c>
      <c r="L58" t="s">
        <v>2142</v>
      </c>
      <c r="M58" t="s">
        <v>2142</v>
      </c>
      <c r="N58" t="s">
        <v>2373</v>
      </c>
      <c r="O58" t="s">
        <v>2374</v>
      </c>
      <c r="P58" t="s">
        <v>2142</v>
      </c>
      <c r="Q58" t="s">
        <v>2375</v>
      </c>
      <c r="R58" t="s">
        <v>2376</v>
      </c>
      <c r="S58" t="s">
        <v>2377</v>
      </c>
      <c r="T58" t="s">
        <v>2378</v>
      </c>
      <c r="U58" t="s">
        <v>2142</v>
      </c>
      <c r="V58" t="s">
        <v>2142</v>
      </c>
      <c r="W58" t="s">
        <v>2379</v>
      </c>
      <c r="X58" t="s">
        <v>2380</v>
      </c>
      <c r="Y58" t="s">
        <v>2370</v>
      </c>
      <c r="Z58" t="s">
        <v>2378</v>
      </c>
      <c r="AA58" t="s">
        <v>2142</v>
      </c>
      <c r="AB58" t="s">
        <v>2381</v>
      </c>
      <c r="AC58" t="s">
        <v>2142</v>
      </c>
      <c r="AD58" t="s">
        <v>2142</v>
      </c>
      <c r="AE58" t="s">
        <v>2142</v>
      </c>
      <c r="AF58" t="s">
        <v>2370</v>
      </c>
      <c r="AG58" t="s">
        <v>2382</v>
      </c>
      <c r="AH58" t="s">
        <v>2142</v>
      </c>
      <c r="AI58" t="s">
        <v>2142</v>
      </c>
      <c r="AJ58" t="s">
        <v>2142</v>
      </c>
      <c r="AK58" t="s">
        <v>2142</v>
      </c>
      <c r="AL58" t="s">
        <v>2383</v>
      </c>
      <c r="AM58" t="s">
        <v>2142</v>
      </c>
      <c r="AN58" t="s">
        <v>2142</v>
      </c>
      <c r="AO58" t="s">
        <v>2370</v>
      </c>
      <c r="AP58" t="s">
        <v>2384</v>
      </c>
      <c r="AQ58" t="s">
        <v>2142</v>
      </c>
    </row>
    <row r="59" spans="1:43" x14ac:dyDescent="0.25">
      <c r="A59" s="78" t="s">
        <v>2140</v>
      </c>
      <c r="B59" t="s">
        <v>2385</v>
      </c>
      <c r="C59" t="s">
        <v>2386</v>
      </c>
      <c r="D59" t="s">
        <v>2387</v>
      </c>
      <c r="E59" t="s">
        <v>2388</v>
      </c>
      <c r="F59" t="s">
        <v>2389</v>
      </c>
      <c r="G59" t="s">
        <v>2390</v>
      </c>
      <c r="H59" t="s">
        <v>2391</v>
      </c>
      <c r="I59" t="s">
        <v>2391</v>
      </c>
      <c r="J59" t="s">
        <v>2388</v>
      </c>
      <c r="K59" t="s">
        <v>2392</v>
      </c>
      <c r="L59" t="s">
        <v>2393</v>
      </c>
      <c r="M59" t="s">
        <v>2394</v>
      </c>
      <c r="N59" t="s">
        <v>2395</v>
      </c>
      <c r="O59" t="s">
        <v>2396</v>
      </c>
      <c r="P59" t="s">
        <v>2393</v>
      </c>
      <c r="Q59" t="s">
        <v>2397</v>
      </c>
      <c r="R59" t="s">
        <v>2398</v>
      </c>
      <c r="S59" t="s">
        <v>2399</v>
      </c>
      <c r="T59" t="s">
        <v>2140</v>
      </c>
      <c r="U59" t="s">
        <v>2400</v>
      </c>
      <c r="V59" t="s">
        <v>2140</v>
      </c>
      <c r="W59" t="s">
        <v>2401</v>
      </c>
      <c r="X59" t="s">
        <v>2402</v>
      </c>
      <c r="Y59" t="s">
        <v>2389</v>
      </c>
      <c r="Z59" t="s">
        <v>2403</v>
      </c>
      <c r="AA59" t="s">
        <v>2140</v>
      </c>
      <c r="AB59" t="s">
        <v>2386</v>
      </c>
      <c r="AC59" t="s">
        <v>2404</v>
      </c>
      <c r="AD59" t="s">
        <v>2390</v>
      </c>
      <c r="AE59" t="s">
        <v>2140</v>
      </c>
      <c r="AF59" t="s">
        <v>2389</v>
      </c>
      <c r="AG59" t="s">
        <v>2389</v>
      </c>
      <c r="AH59" t="s">
        <v>2392</v>
      </c>
      <c r="AI59" t="s">
        <v>2405</v>
      </c>
      <c r="AJ59" t="s">
        <v>2406</v>
      </c>
      <c r="AK59" t="s">
        <v>2440</v>
      </c>
      <c r="AL59" t="s">
        <v>2407</v>
      </c>
      <c r="AM59" t="s">
        <v>2408</v>
      </c>
      <c r="AN59" t="s">
        <v>2140</v>
      </c>
      <c r="AO59" t="s">
        <v>2409</v>
      </c>
      <c r="AP59" t="s">
        <v>2410</v>
      </c>
      <c r="AQ59" t="s">
        <v>2388</v>
      </c>
    </row>
    <row r="60" spans="1:43" x14ac:dyDescent="0.25">
      <c r="A60" s="78" t="s">
        <v>2132</v>
      </c>
      <c r="B60" t="s">
        <v>2411</v>
      </c>
      <c r="C60" t="s">
        <v>2412</v>
      </c>
      <c r="D60" t="s">
        <v>2413</v>
      </c>
      <c r="E60" t="s">
        <v>2414</v>
      </c>
      <c r="F60" t="s">
        <v>2415</v>
      </c>
      <c r="G60" t="s">
        <v>2416</v>
      </c>
      <c r="H60" t="s">
        <v>2417</v>
      </c>
      <c r="I60" t="s">
        <v>2417</v>
      </c>
      <c r="J60" t="s">
        <v>2418</v>
      </c>
      <c r="K60" t="s">
        <v>2132</v>
      </c>
      <c r="L60" t="s">
        <v>2419</v>
      </c>
      <c r="M60" t="s">
        <v>2420</v>
      </c>
      <c r="N60" t="s">
        <v>2420</v>
      </c>
      <c r="O60" t="s">
        <v>2421</v>
      </c>
      <c r="P60" t="s">
        <v>2422</v>
      </c>
      <c r="Q60" t="s">
        <v>2423</v>
      </c>
      <c r="R60" t="s">
        <v>2424</v>
      </c>
      <c r="S60" t="s">
        <v>2425</v>
      </c>
      <c r="T60" t="s">
        <v>2426</v>
      </c>
      <c r="U60" t="s">
        <v>2427</v>
      </c>
      <c r="V60" t="s">
        <v>2428</v>
      </c>
      <c r="W60" t="s">
        <v>2429</v>
      </c>
      <c r="X60" t="s">
        <v>2430</v>
      </c>
      <c r="Y60" t="s">
        <v>2415</v>
      </c>
      <c r="Z60" t="s">
        <v>2431</v>
      </c>
      <c r="AA60" t="s">
        <v>2132</v>
      </c>
      <c r="AB60" t="s">
        <v>2412</v>
      </c>
      <c r="AC60" t="s">
        <v>2432</v>
      </c>
      <c r="AD60" t="s">
        <v>2433</v>
      </c>
      <c r="AE60" t="s">
        <v>2432</v>
      </c>
      <c r="AF60" t="s">
        <v>2415</v>
      </c>
      <c r="AG60" t="s">
        <v>2434</v>
      </c>
      <c r="AH60" t="s">
        <v>2132</v>
      </c>
      <c r="AI60" t="s">
        <v>2432</v>
      </c>
      <c r="AJ60" t="s">
        <v>2435</v>
      </c>
      <c r="AK60" t="s">
        <v>2419</v>
      </c>
      <c r="AL60" t="s">
        <v>2436</v>
      </c>
      <c r="AM60" t="s">
        <v>2437</v>
      </c>
      <c r="AN60" t="s">
        <v>2438</v>
      </c>
      <c r="AO60" t="s">
        <v>2439</v>
      </c>
      <c r="AP60" t="s">
        <v>2412</v>
      </c>
      <c r="AQ60" t="s">
        <v>2552</v>
      </c>
    </row>
    <row r="61" spans="1:43" x14ac:dyDescent="0.25">
      <c r="A61" s="78" t="s">
        <v>1420</v>
      </c>
      <c r="B61" t="s">
        <v>1420</v>
      </c>
      <c r="C61" t="s">
        <v>1421</v>
      </c>
      <c r="D61" t="s">
        <v>1422</v>
      </c>
      <c r="E61" t="s">
        <v>1423</v>
      </c>
      <c r="F61" t="s">
        <v>1424</v>
      </c>
      <c r="G61" t="s">
        <v>1420</v>
      </c>
      <c r="H61" t="s">
        <v>1425</v>
      </c>
      <c r="I61" t="s">
        <v>1425</v>
      </c>
      <c r="J61" t="s">
        <v>1420</v>
      </c>
      <c r="K61" t="s">
        <v>1426</v>
      </c>
      <c r="L61" t="s">
        <v>1420</v>
      </c>
      <c r="M61" t="s">
        <v>1420</v>
      </c>
      <c r="N61" t="s">
        <v>1420</v>
      </c>
      <c r="O61" t="s">
        <v>1427</v>
      </c>
      <c r="P61" t="s">
        <v>1420</v>
      </c>
      <c r="Q61" t="s">
        <v>1428</v>
      </c>
      <c r="R61" t="s">
        <v>1429</v>
      </c>
      <c r="S61" t="s">
        <v>1430</v>
      </c>
      <c r="T61" t="s">
        <v>1420</v>
      </c>
      <c r="U61" t="s">
        <v>1431</v>
      </c>
      <c r="V61" t="s">
        <v>1420</v>
      </c>
      <c r="W61" t="s">
        <v>1432</v>
      </c>
      <c r="X61" t="s">
        <v>1433</v>
      </c>
      <c r="Y61" t="s">
        <v>1424</v>
      </c>
      <c r="Z61" t="s">
        <v>1420</v>
      </c>
      <c r="AA61" t="s">
        <v>1420</v>
      </c>
      <c r="AB61" t="s">
        <v>1434</v>
      </c>
      <c r="AC61" t="s">
        <v>1420</v>
      </c>
      <c r="AD61" t="s">
        <v>1435</v>
      </c>
      <c r="AE61" t="s">
        <v>1420</v>
      </c>
      <c r="AF61" t="s">
        <v>1424</v>
      </c>
      <c r="AG61" t="s">
        <v>1424</v>
      </c>
      <c r="AH61" t="s">
        <v>1430</v>
      </c>
      <c r="AI61" t="s">
        <v>1420</v>
      </c>
      <c r="AJ61" t="s">
        <v>1430</v>
      </c>
      <c r="AK61" t="s">
        <v>1420</v>
      </c>
      <c r="AL61" t="s">
        <v>1436</v>
      </c>
      <c r="AM61" t="s">
        <v>1423</v>
      </c>
      <c r="AN61" t="s">
        <v>1420</v>
      </c>
      <c r="AO61" t="s">
        <v>1437</v>
      </c>
      <c r="AP61" t="s">
        <v>1434</v>
      </c>
      <c r="AQ61" t="s">
        <v>2553</v>
      </c>
    </row>
    <row r="62" spans="1:43" x14ac:dyDescent="0.25">
      <c r="A62" s="78" t="s">
        <v>1438</v>
      </c>
      <c r="B62" t="s">
        <v>1439</v>
      </c>
      <c r="C62" t="s">
        <v>1440</v>
      </c>
      <c r="D62" t="s">
        <v>1441</v>
      </c>
      <c r="E62" t="s">
        <v>1442</v>
      </c>
      <c r="F62" t="s">
        <v>1443</v>
      </c>
      <c r="G62" t="s">
        <v>1444</v>
      </c>
      <c r="H62" t="s">
        <v>1445</v>
      </c>
      <c r="I62" t="s">
        <v>1445</v>
      </c>
      <c r="J62" t="s">
        <v>1438</v>
      </c>
      <c r="K62" t="s">
        <v>1446</v>
      </c>
      <c r="L62" t="s">
        <v>1447</v>
      </c>
      <c r="M62" t="s">
        <v>1448</v>
      </c>
      <c r="N62" t="s">
        <v>1449</v>
      </c>
      <c r="O62" t="s">
        <v>1450</v>
      </c>
      <c r="P62" t="s">
        <v>1447</v>
      </c>
      <c r="Q62" t="s">
        <v>1451</v>
      </c>
      <c r="R62" t="s">
        <v>1452</v>
      </c>
      <c r="S62" t="s">
        <v>1453</v>
      </c>
      <c r="T62" t="s">
        <v>1438</v>
      </c>
      <c r="U62" t="s">
        <v>1454</v>
      </c>
      <c r="V62" t="s">
        <v>1455</v>
      </c>
      <c r="W62" t="s">
        <v>1456</v>
      </c>
      <c r="X62" t="s">
        <v>1457</v>
      </c>
      <c r="Y62" t="s">
        <v>1458</v>
      </c>
      <c r="Z62" t="s">
        <v>1459</v>
      </c>
      <c r="AA62" t="s">
        <v>1444</v>
      </c>
      <c r="AB62" t="s">
        <v>1460</v>
      </c>
      <c r="AC62" t="s">
        <v>1461</v>
      </c>
      <c r="AD62" t="s">
        <v>1444</v>
      </c>
      <c r="AE62" t="s">
        <v>1462</v>
      </c>
      <c r="AF62" t="s">
        <v>1443</v>
      </c>
      <c r="AG62" t="s">
        <v>1438</v>
      </c>
      <c r="AH62" t="s">
        <v>1453</v>
      </c>
      <c r="AI62" t="s">
        <v>1457</v>
      </c>
      <c r="AJ62" t="s">
        <v>1444</v>
      </c>
      <c r="AK62" t="s">
        <v>1447</v>
      </c>
      <c r="AL62" t="s">
        <v>1463</v>
      </c>
      <c r="AM62" t="s">
        <v>1464</v>
      </c>
      <c r="AN62" t="s">
        <v>1465</v>
      </c>
      <c r="AO62" t="s">
        <v>1466</v>
      </c>
      <c r="AP62" t="s">
        <v>1467</v>
      </c>
      <c r="AQ62" t="s">
        <v>1442</v>
      </c>
    </row>
    <row r="63" spans="1:43" x14ac:dyDescent="0.25">
      <c r="A63" s="78" t="s">
        <v>1468</v>
      </c>
      <c r="B63" t="s">
        <v>1469</v>
      </c>
      <c r="C63" t="s">
        <v>1470</v>
      </c>
      <c r="D63" t="s">
        <v>1471</v>
      </c>
      <c r="E63" t="s">
        <v>1472</v>
      </c>
      <c r="F63" t="s">
        <v>1473</v>
      </c>
      <c r="G63" t="s">
        <v>1474</v>
      </c>
      <c r="H63" t="s">
        <v>1475</v>
      </c>
      <c r="I63" t="s">
        <v>1476</v>
      </c>
      <c r="J63" t="s">
        <v>1477</v>
      </c>
      <c r="K63" t="s">
        <v>1478</v>
      </c>
      <c r="L63" t="s">
        <v>1479</v>
      </c>
      <c r="M63" t="s">
        <v>1480</v>
      </c>
      <c r="N63" t="s">
        <v>1481</v>
      </c>
      <c r="O63" t="s">
        <v>1482</v>
      </c>
      <c r="P63" t="s">
        <v>1479</v>
      </c>
      <c r="Q63" t="s">
        <v>1483</v>
      </c>
      <c r="R63" t="s">
        <v>1484</v>
      </c>
      <c r="S63" t="s">
        <v>1468</v>
      </c>
      <c r="T63" t="s">
        <v>1485</v>
      </c>
      <c r="U63" t="s">
        <v>1468</v>
      </c>
      <c r="V63" t="s">
        <v>1486</v>
      </c>
      <c r="W63" t="s">
        <v>1487</v>
      </c>
      <c r="X63" t="s">
        <v>1477</v>
      </c>
      <c r="Y63" t="s">
        <v>1488</v>
      </c>
      <c r="Z63" t="s">
        <v>2441</v>
      </c>
      <c r="AA63" t="s">
        <v>1485</v>
      </c>
      <c r="AB63" t="s">
        <v>1489</v>
      </c>
      <c r="AC63" t="s">
        <v>1485</v>
      </c>
      <c r="AD63" t="s">
        <v>1490</v>
      </c>
      <c r="AE63" t="s">
        <v>1485</v>
      </c>
      <c r="AF63" t="s">
        <v>1491</v>
      </c>
      <c r="AG63" t="s">
        <v>1492</v>
      </c>
      <c r="AH63" t="s">
        <v>1493</v>
      </c>
      <c r="AI63" t="s">
        <v>1477</v>
      </c>
      <c r="AJ63" t="s">
        <v>1490</v>
      </c>
      <c r="AK63" t="s">
        <v>1479</v>
      </c>
      <c r="AL63" t="s">
        <v>1494</v>
      </c>
      <c r="AM63" t="s">
        <v>1472</v>
      </c>
      <c r="AN63" t="s">
        <v>1495</v>
      </c>
      <c r="AO63" t="s">
        <v>1496</v>
      </c>
      <c r="AP63" t="s">
        <v>1497</v>
      </c>
      <c r="AQ63" t="s">
        <v>2554</v>
      </c>
    </row>
    <row r="64" spans="1:43" x14ac:dyDescent="0.25">
      <c r="A64" s="78" t="s">
        <v>2133</v>
      </c>
      <c r="B64" t="s">
        <v>2443</v>
      </c>
      <c r="C64" t="s">
        <v>2444</v>
      </c>
      <c r="D64" t="s">
        <v>2445</v>
      </c>
      <c r="E64" t="s">
        <v>2467</v>
      </c>
      <c r="F64" t="s">
        <v>2446</v>
      </c>
      <c r="G64" t="s">
        <v>2447</v>
      </c>
      <c r="H64" t="s">
        <v>2448</v>
      </c>
      <c r="I64" t="s">
        <v>2448</v>
      </c>
      <c r="J64" t="s">
        <v>2449</v>
      </c>
      <c r="K64" t="s">
        <v>2449</v>
      </c>
      <c r="L64" t="s">
        <v>2450</v>
      </c>
      <c r="M64" t="s">
        <v>2450</v>
      </c>
      <c r="N64" t="s">
        <v>2451</v>
      </c>
      <c r="O64" t="s">
        <v>2452</v>
      </c>
      <c r="P64" t="s">
        <v>2450</v>
      </c>
      <c r="Q64" t="s">
        <v>2453</v>
      </c>
      <c r="R64" t="s">
        <v>2454</v>
      </c>
      <c r="S64" t="s">
        <v>2455</v>
      </c>
      <c r="T64" t="s">
        <v>2449</v>
      </c>
      <c r="U64" t="s">
        <v>2455</v>
      </c>
      <c r="V64" t="s">
        <v>2456</v>
      </c>
      <c r="W64" t="s">
        <v>2457</v>
      </c>
      <c r="X64" t="s">
        <v>2458</v>
      </c>
      <c r="Y64" t="s">
        <v>2446</v>
      </c>
      <c r="Z64" t="s">
        <v>2459</v>
      </c>
      <c r="AA64" t="s">
        <v>2450</v>
      </c>
      <c r="AB64" t="s">
        <v>2460</v>
      </c>
      <c r="AC64" t="s">
        <v>2449</v>
      </c>
      <c r="AD64" t="s">
        <v>2461</v>
      </c>
      <c r="AE64" t="s">
        <v>2451</v>
      </c>
      <c r="AF64" t="s">
        <v>2462</v>
      </c>
      <c r="AG64" t="s">
        <v>2446</v>
      </c>
      <c r="AH64" t="s">
        <v>2449</v>
      </c>
      <c r="AI64" t="s">
        <v>2449</v>
      </c>
      <c r="AJ64" t="s">
        <v>2463</v>
      </c>
      <c r="AK64" t="s">
        <v>2464</v>
      </c>
      <c r="AL64" t="s">
        <v>2465</v>
      </c>
      <c r="AM64" t="s">
        <v>2466</v>
      </c>
      <c r="AN64" t="s">
        <v>2133</v>
      </c>
      <c r="AO64" t="s">
        <v>2462</v>
      </c>
      <c r="AP64" t="s">
        <v>2460</v>
      </c>
      <c r="AQ64" t="s">
        <v>2555</v>
      </c>
    </row>
    <row r="65" spans="1:43" x14ac:dyDescent="0.25">
      <c r="A65" s="78" t="s">
        <v>1498</v>
      </c>
      <c r="B65" t="s">
        <v>1499</v>
      </c>
      <c r="C65" t="s">
        <v>1500</v>
      </c>
      <c r="D65" t="s">
        <v>1501</v>
      </c>
      <c r="E65" t="s">
        <v>1502</v>
      </c>
      <c r="F65" t="s">
        <v>1503</v>
      </c>
      <c r="G65" t="s">
        <v>1498</v>
      </c>
      <c r="H65" t="s">
        <v>1504</v>
      </c>
      <c r="I65" t="s">
        <v>1504</v>
      </c>
      <c r="J65" t="s">
        <v>1505</v>
      </c>
      <c r="K65" t="s">
        <v>1506</v>
      </c>
      <c r="L65" t="s">
        <v>1498</v>
      </c>
      <c r="M65" t="s">
        <v>1498</v>
      </c>
      <c r="N65" t="s">
        <v>1498</v>
      </c>
      <c r="O65" t="s">
        <v>1507</v>
      </c>
      <c r="P65" t="s">
        <v>1498</v>
      </c>
      <c r="Q65" t="s">
        <v>1508</v>
      </c>
      <c r="R65" t="s">
        <v>1509</v>
      </c>
      <c r="S65" t="s">
        <v>1510</v>
      </c>
      <c r="T65" t="s">
        <v>1498</v>
      </c>
      <c r="U65" t="s">
        <v>1498</v>
      </c>
      <c r="V65" t="s">
        <v>1511</v>
      </c>
      <c r="W65" t="s">
        <v>1512</v>
      </c>
      <c r="X65" t="s">
        <v>1505</v>
      </c>
      <c r="Y65" t="s">
        <v>1513</v>
      </c>
      <c r="Z65" t="s">
        <v>1514</v>
      </c>
      <c r="AA65" t="s">
        <v>1498</v>
      </c>
      <c r="AB65" t="s">
        <v>1515</v>
      </c>
      <c r="AC65" t="s">
        <v>1516</v>
      </c>
      <c r="AD65" t="s">
        <v>1498</v>
      </c>
      <c r="AE65" t="s">
        <v>1516</v>
      </c>
      <c r="AF65" t="s">
        <v>1503</v>
      </c>
      <c r="AG65" t="s">
        <v>1513</v>
      </c>
      <c r="AH65" t="s">
        <v>1506</v>
      </c>
      <c r="AI65" t="s">
        <v>1517</v>
      </c>
      <c r="AJ65" t="s">
        <v>1498</v>
      </c>
      <c r="AK65" t="s">
        <v>1498</v>
      </c>
      <c r="AL65" t="s">
        <v>1518</v>
      </c>
      <c r="AM65" t="s">
        <v>1519</v>
      </c>
      <c r="AN65" t="s">
        <v>1520</v>
      </c>
      <c r="AO65" t="s">
        <v>1521</v>
      </c>
      <c r="AP65" t="s">
        <v>1522</v>
      </c>
      <c r="AQ65" t="s">
        <v>2556</v>
      </c>
    </row>
    <row r="66" spans="1:43" x14ac:dyDescent="0.25">
      <c r="A66" s="78" t="s">
        <v>1523</v>
      </c>
      <c r="B66" t="s">
        <v>1524</v>
      </c>
      <c r="C66" t="s">
        <v>1525</v>
      </c>
      <c r="D66" t="s">
        <v>1526</v>
      </c>
      <c r="E66" t="s">
        <v>1527</v>
      </c>
      <c r="F66" t="s">
        <v>1528</v>
      </c>
      <c r="G66" t="s">
        <v>1529</v>
      </c>
      <c r="H66" t="s">
        <v>1530</v>
      </c>
      <c r="I66" t="s">
        <v>1530</v>
      </c>
      <c r="J66" t="s">
        <v>1531</v>
      </c>
      <c r="K66" t="s">
        <v>1532</v>
      </c>
      <c r="L66" t="s">
        <v>1533</v>
      </c>
      <c r="M66" t="s">
        <v>1534</v>
      </c>
      <c r="N66" t="s">
        <v>1535</v>
      </c>
      <c r="O66" t="s">
        <v>1536</v>
      </c>
      <c r="P66" t="s">
        <v>1533</v>
      </c>
      <c r="Q66" t="s">
        <v>1537</v>
      </c>
      <c r="R66" t="s">
        <v>1538</v>
      </c>
      <c r="S66" t="s">
        <v>1539</v>
      </c>
      <c r="T66" t="s">
        <v>1540</v>
      </c>
      <c r="U66" t="s">
        <v>1541</v>
      </c>
      <c r="V66" t="s">
        <v>1542</v>
      </c>
      <c r="W66" t="s">
        <v>1543</v>
      </c>
      <c r="X66" t="s">
        <v>1544</v>
      </c>
      <c r="Y66" t="s">
        <v>1545</v>
      </c>
      <c r="Z66" t="s">
        <v>1546</v>
      </c>
      <c r="AA66" t="s">
        <v>1547</v>
      </c>
      <c r="AB66" t="s">
        <v>1548</v>
      </c>
      <c r="AC66" t="s">
        <v>1549</v>
      </c>
      <c r="AD66" t="s">
        <v>1550</v>
      </c>
      <c r="AE66" t="s">
        <v>1547</v>
      </c>
      <c r="AF66" t="s">
        <v>1528</v>
      </c>
      <c r="AG66" t="s">
        <v>1545</v>
      </c>
      <c r="AH66" t="s">
        <v>1551</v>
      </c>
      <c r="AI66" t="s">
        <v>1552</v>
      </c>
      <c r="AJ66" t="s">
        <v>1553</v>
      </c>
      <c r="AK66" t="s">
        <v>1533</v>
      </c>
      <c r="AL66" t="s">
        <v>1554</v>
      </c>
      <c r="AM66" t="s">
        <v>1555</v>
      </c>
      <c r="AN66" t="s">
        <v>1556</v>
      </c>
      <c r="AO66" t="s">
        <v>1557</v>
      </c>
      <c r="AP66" t="s">
        <v>1558</v>
      </c>
      <c r="AQ66" t="s">
        <v>2557</v>
      </c>
    </row>
    <row r="67" spans="1:43" x14ac:dyDescent="0.25">
      <c r="A67" s="78" t="s">
        <v>1559</v>
      </c>
      <c r="B67" t="s">
        <v>1560</v>
      </c>
      <c r="C67" t="s">
        <v>1561</v>
      </c>
      <c r="D67" t="s">
        <v>1562</v>
      </c>
      <c r="E67" t="s">
        <v>1563</v>
      </c>
      <c r="F67" t="s">
        <v>1564</v>
      </c>
      <c r="G67" t="s">
        <v>1565</v>
      </c>
      <c r="H67" t="s">
        <v>1566</v>
      </c>
      <c r="I67" t="s">
        <v>1566</v>
      </c>
      <c r="J67" t="s">
        <v>1567</v>
      </c>
      <c r="K67" t="s">
        <v>1568</v>
      </c>
      <c r="L67" t="s">
        <v>1569</v>
      </c>
      <c r="M67" t="s">
        <v>1570</v>
      </c>
      <c r="N67" t="s">
        <v>1571</v>
      </c>
      <c r="O67" t="s">
        <v>1559</v>
      </c>
      <c r="P67" t="s">
        <v>1569</v>
      </c>
      <c r="Q67" t="s">
        <v>1572</v>
      </c>
      <c r="R67" t="s">
        <v>1573</v>
      </c>
      <c r="S67" t="s">
        <v>1574</v>
      </c>
      <c r="T67" t="s">
        <v>1575</v>
      </c>
      <c r="U67" t="s">
        <v>1576</v>
      </c>
      <c r="V67" t="s">
        <v>1577</v>
      </c>
      <c r="W67" t="s">
        <v>1578</v>
      </c>
      <c r="X67" t="s">
        <v>1579</v>
      </c>
      <c r="Y67" t="s">
        <v>1580</v>
      </c>
      <c r="Z67" t="s">
        <v>1581</v>
      </c>
      <c r="AA67" t="s">
        <v>1582</v>
      </c>
      <c r="AB67" t="s">
        <v>1583</v>
      </c>
      <c r="AC67" t="s">
        <v>1584</v>
      </c>
      <c r="AD67" t="s">
        <v>1585</v>
      </c>
      <c r="AE67" t="s">
        <v>1586</v>
      </c>
      <c r="AF67" t="s">
        <v>1564</v>
      </c>
      <c r="AG67" t="s">
        <v>1587</v>
      </c>
      <c r="AH67" t="s">
        <v>1588</v>
      </c>
      <c r="AI67" t="s">
        <v>1589</v>
      </c>
      <c r="AJ67" t="s">
        <v>1590</v>
      </c>
      <c r="AK67" t="s">
        <v>1569</v>
      </c>
      <c r="AL67" t="s">
        <v>1591</v>
      </c>
      <c r="AM67" t="s">
        <v>1592</v>
      </c>
      <c r="AN67" t="s">
        <v>1593</v>
      </c>
      <c r="AO67" t="s">
        <v>1594</v>
      </c>
      <c r="AP67" t="s">
        <v>1595</v>
      </c>
      <c r="AQ67" t="s">
        <v>2558</v>
      </c>
    </row>
    <row r="68" spans="1:43" x14ac:dyDescent="0.25">
      <c r="A68" s="78" t="s">
        <v>2139</v>
      </c>
      <c r="B68" t="s">
        <v>2139</v>
      </c>
      <c r="C68" t="s">
        <v>2468</v>
      </c>
      <c r="D68" t="s">
        <v>2469</v>
      </c>
      <c r="E68" t="s">
        <v>2139</v>
      </c>
      <c r="F68" t="s">
        <v>2470</v>
      </c>
      <c r="G68" t="s">
        <v>2471</v>
      </c>
      <c r="H68" t="s">
        <v>2472</v>
      </c>
      <c r="I68" t="s">
        <v>2473</v>
      </c>
      <c r="J68" t="s">
        <v>2139</v>
      </c>
      <c r="K68" t="s">
        <v>2139</v>
      </c>
      <c r="L68" t="s">
        <v>2139</v>
      </c>
      <c r="M68" t="s">
        <v>2139</v>
      </c>
      <c r="N68" t="s">
        <v>2139</v>
      </c>
      <c r="O68" t="s">
        <v>2474</v>
      </c>
      <c r="P68" t="s">
        <v>2139</v>
      </c>
      <c r="Q68" t="s">
        <v>2475</v>
      </c>
      <c r="R68" t="s">
        <v>2476</v>
      </c>
      <c r="S68" t="s">
        <v>2139</v>
      </c>
      <c r="T68" t="s">
        <v>2139</v>
      </c>
      <c r="U68" t="s">
        <v>2139</v>
      </c>
      <c r="V68" t="s">
        <v>2139</v>
      </c>
      <c r="W68" t="s">
        <v>2477</v>
      </c>
      <c r="X68" t="s">
        <v>2139</v>
      </c>
      <c r="Y68" t="s">
        <v>2470</v>
      </c>
      <c r="Z68" t="s">
        <v>2139</v>
      </c>
      <c r="AA68" t="s">
        <v>2139</v>
      </c>
      <c r="AB68" t="s">
        <v>2478</v>
      </c>
      <c r="AC68" t="s">
        <v>2139</v>
      </c>
      <c r="AD68" t="s">
        <v>2479</v>
      </c>
      <c r="AE68" t="s">
        <v>2139</v>
      </c>
      <c r="AF68" t="s">
        <v>2470</v>
      </c>
      <c r="AG68" t="s">
        <v>2470</v>
      </c>
      <c r="AH68" t="s">
        <v>2139</v>
      </c>
      <c r="AI68" t="s">
        <v>2139</v>
      </c>
      <c r="AJ68" t="s">
        <v>2479</v>
      </c>
      <c r="AK68" t="s">
        <v>2139</v>
      </c>
      <c r="AL68" t="s">
        <v>2480</v>
      </c>
      <c r="AM68" t="s">
        <v>2139</v>
      </c>
      <c r="AN68" t="s">
        <v>2139</v>
      </c>
      <c r="AO68" t="s">
        <v>2470</v>
      </c>
      <c r="AP68" t="s">
        <v>2478</v>
      </c>
      <c r="AQ68" t="s">
        <v>2139</v>
      </c>
    </row>
    <row r="69" spans="1:43" x14ac:dyDescent="0.25">
      <c r="A69" s="78" t="s">
        <v>2131</v>
      </c>
      <c r="B69" t="s">
        <v>2481</v>
      </c>
      <c r="C69" t="s">
        <v>2482</v>
      </c>
      <c r="D69" t="s">
        <v>2483</v>
      </c>
      <c r="E69" t="s">
        <v>2484</v>
      </c>
      <c r="F69" t="s">
        <v>2485</v>
      </c>
      <c r="G69" t="s">
        <v>2486</v>
      </c>
      <c r="H69" t="s">
        <v>2487</v>
      </c>
      <c r="I69" t="s">
        <v>2487</v>
      </c>
      <c r="J69" t="s">
        <v>2488</v>
      </c>
      <c r="K69" t="s">
        <v>2489</v>
      </c>
      <c r="L69" t="s">
        <v>2490</v>
      </c>
      <c r="M69" t="s">
        <v>2491</v>
      </c>
      <c r="N69" t="s">
        <v>2492</v>
      </c>
      <c r="O69" t="s">
        <v>2493</v>
      </c>
      <c r="P69" t="s">
        <v>2490</v>
      </c>
      <c r="Q69" t="s">
        <v>2494</v>
      </c>
      <c r="R69" t="s">
        <v>2495</v>
      </c>
      <c r="S69" t="s">
        <v>2496</v>
      </c>
      <c r="T69" t="s">
        <v>2497</v>
      </c>
      <c r="U69" t="s">
        <v>2498</v>
      </c>
      <c r="V69" t="s">
        <v>2499</v>
      </c>
      <c r="W69" t="s">
        <v>2500</v>
      </c>
      <c r="X69" t="s">
        <v>2501</v>
      </c>
      <c r="Y69" t="s">
        <v>2502</v>
      </c>
      <c r="Z69" t="s">
        <v>2503</v>
      </c>
      <c r="AA69" t="s">
        <v>2504</v>
      </c>
      <c r="AB69" t="s">
        <v>2505</v>
      </c>
      <c r="AC69" t="s">
        <v>2506</v>
      </c>
      <c r="AD69" t="s">
        <v>2507</v>
      </c>
      <c r="AE69" t="s">
        <v>2508</v>
      </c>
      <c r="AF69" t="s">
        <v>2509</v>
      </c>
      <c r="AG69" t="s">
        <v>2510</v>
      </c>
      <c r="AH69" t="s">
        <v>2511</v>
      </c>
      <c r="AI69" t="s">
        <v>2512</v>
      </c>
      <c r="AJ69" t="s">
        <v>2499</v>
      </c>
      <c r="AK69" t="s">
        <v>2513</v>
      </c>
      <c r="AL69" t="s">
        <v>2514</v>
      </c>
      <c r="AM69" t="s">
        <v>2515</v>
      </c>
      <c r="AN69" t="s">
        <v>2516</v>
      </c>
      <c r="AO69" t="s">
        <v>2517</v>
      </c>
      <c r="AP69" t="s">
        <v>2518</v>
      </c>
      <c r="AQ69" t="s">
        <v>2559</v>
      </c>
    </row>
    <row r="70" spans="1:43" x14ac:dyDescent="0.25">
      <c r="A70" s="78" t="s">
        <v>1596</v>
      </c>
      <c r="B70" t="s">
        <v>1596</v>
      </c>
      <c r="C70" t="s">
        <v>1596</v>
      </c>
      <c r="D70" t="s">
        <v>1596</v>
      </c>
      <c r="E70" t="s">
        <v>1596</v>
      </c>
      <c r="F70" t="s">
        <v>1596</v>
      </c>
      <c r="G70" t="s">
        <v>1596</v>
      </c>
      <c r="H70" t="s">
        <v>1596</v>
      </c>
      <c r="I70" t="s">
        <v>1596</v>
      </c>
      <c r="J70" t="s">
        <v>1596</v>
      </c>
      <c r="K70" t="s">
        <v>1596</v>
      </c>
      <c r="L70" t="s">
        <v>1596</v>
      </c>
      <c r="M70" t="s">
        <v>1597</v>
      </c>
      <c r="N70" t="s">
        <v>1596</v>
      </c>
      <c r="O70" t="s">
        <v>1596</v>
      </c>
      <c r="P70" t="s">
        <v>1596</v>
      </c>
      <c r="Q70" t="s">
        <v>1596</v>
      </c>
      <c r="R70" t="s">
        <v>1596</v>
      </c>
      <c r="S70" t="s">
        <v>1596</v>
      </c>
      <c r="T70" t="s">
        <v>1596</v>
      </c>
      <c r="U70" t="s">
        <v>1596</v>
      </c>
      <c r="V70" t="s">
        <v>1596</v>
      </c>
      <c r="W70" t="s">
        <v>1598</v>
      </c>
      <c r="X70" t="s">
        <v>1596</v>
      </c>
      <c r="Y70" t="s">
        <v>1596</v>
      </c>
      <c r="Z70" t="s">
        <v>1596</v>
      </c>
      <c r="AA70" t="s">
        <v>1596</v>
      </c>
      <c r="AB70" t="s">
        <v>1599</v>
      </c>
      <c r="AC70" t="s">
        <v>1596</v>
      </c>
      <c r="AD70" t="s">
        <v>1596</v>
      </c>
      <c r="AE70" t="s">
        <v>1596</v>
      </c>
      <c r="AF70" t="s">
        <v>1596</v>
      </c>
      <c r="AG70" t="s">
        <v>1596</v>
      </c>
      <c r="AH70" t="s">
        <v>1596</v>
      </c>
      <c r="AI70" t="s">
        <v>1596</v>
      </c>
      <c r="AJ70" t="s">
        <v>1596</v>
      </c>
      <c r="AK70" t="s">
        <v>1596</v>
      </c>
      <c r="AL70" t="s">
        <v>1600</v>
      </c>
      <c r="AM70" t="s">
        <v>1597</v>
      </c>
      <c r="AN70" t="s">
        <v>1596</v>
      </c>
      <c r="AO70" t="s">
        <v>1596</v>
      </c>
      <c r="AP70" t="s">
        <v>1601</v>
      </c>
      <c r="AQ70" t="s">
        <v>1596</v>
      </c>
    </row>
    <row r="71" spans="1:43" x14ac:dyDescent="0.25">
      <c r="A71" s="78" t="s">
        <v>1602</v>
      </c>
      <c r="B71" t="s">
        <v>1602</v>
      </c>
      <c r="C71" t="s">
        <v>1602</v>
      </c>
      <c r="D71" t="s">
        <v>1602</v>
      </c>
      <c r="E71" t="s">
        <v>1602</v>
      </c>
      <c r="F71" t="s">
        <v>1602</v>
      </c>
      <c r="G71" t="s">
        <v>1602</v>
      </c>
      <c r="H71" t="s">
        <v>1602</v>
      </c>
      <c r="I71" t="s">
        <v>1602</v>
      </c>
      <c r="J71" t="s">
        <v>1602</v>
      </c>
      <c r="K71" t="s">
        <v>1602</v>
      </c>
      <c r="L71" t="s">
        <v>1602</v>
      </c>
      <c r="M71" t="s">
        <v>1603</v>
      </c>
      <c r="N71" t="s">
        <v>1602</v>
      </c>
      <c r="O71" t="s">
        <v>1602</v>
      </c>
      <c r="P71" t="s">
        <v>1602</v>
      </c>
      <c r="Q71" t="s">
        <v>1602</v>
      </c>
      <c r="R71" t="s">
        <v>1602</v>
      </c>
      <c r="S71" t="s">
        <v>1602</v>
      </c>
      <c r="T71" t="s">
        <v>1602</v>
      </c>
      <c r="U71" t="s">
        <v>1602</v>
      </c>
      <c r="V71" t="s">
        <v>1602</v>
      </c>
      <c r="W71" t="s">
        <v>1604</v>
      </c>
      <c r="X71" t="s">
        <v>1602</v>
      </c>
      <c r="Y71" t="s">
        <v>1602</v>
      </c>
      <c r="Z71" t="s">
        <v>1602</v>
      </c>
      <c r="AA71" t="s">
        <v>1602</v>
      </c>
      <c r="AB71" t="s">
        <v>1605</v>
      </c>
      <c r="AC71" t="s">
        <v>1602</v>
      </c>
      <c r="AD71" t="s">
        <v>1602</v>
      </c>
      <c r="AE71" t="s">
        <v>1602</v>
      </c>
      <c r="AF71" t="s">
        <v>1602</v>
      </c>
      <c r="AG71" t="s">
        <v>1602</v>
      </c>
      <c r="AH71" t="s">
        <v>1602</v>
      </c>
      <c r="AI71" t="s">
        <v>1602</v>
      </c>
      <c r="AJ71" t="s">
        <v>1602</v>
      </c>
      <c r="AK71" t="s">
        <v>1602</v>
      </c>
      <c r="AL71" t="s">
        <v>1606</v>
      </c>
      <c r="AM71" t="s">
        <v>1603</v>
      </c>
      <c r="AN71" t="s">
        <v>1602</v>
      </c>
      <c r="AO71" t="s">
        <v>1602</v>
      </c>
      <c r="AP71" t="s">
        <v>1607</v>
      </c>
      <c r="AQ71" t="s">
        <v>1602</v>
      </c>
    </row>
    <row r="72" spans="1:43" x14ac:dyDescent="0.25">
      <c r="A72" s="78" t="s">
        <v>1608</v>
      </c>
      <c r="B72" t="s">
        <v>1608</v>
      </c>
      <c r="C72" t="s">
        <v>1608</v>
      </c>
      <c r="D72" t="s">
        <v>1608</v>
      </c>
      <c r="E72" t="s">
        <v>1608</v>
      </c>
      <c r="F72" t="s">
        <v>1608</v>
      </c>
      <c r="G72" t="s">
        <v>1608</v>
      </c>
      <c r="H72" t="s">
        <v>1608</v>
      </c>
      <c r="I72" t="s">
        <v>1608</v>
      </c>
      <c r="J72" t="s">
        <v>1608</v>
      </c>
      <c r="K72" t="s">
        <v>1608</v>
      </c>
      <c r="L72" t="s">
        <v>1608</v>
      </c>
      <c r="M72" t="s">
        <v>1609</v>
      </c>
      <c r="N72" t="s">
        <v>1608</v>
      </c>
      <c r="O72" t="s">
        <v>1608</v>
      </c>
      <c r="P72" t="s">
        <v>1608</v>
      </c>
      <c r="Q72" t="s">
        <v>1608</v>
      </c>
      <c r="R72" t="s">
        <v>1608</v>
      </c>
      <c r="S72" t="s">
        <v>1608</v>
      </c>
      <c r="T72" t="s">
        <v>1608</v>
      </c>
      <c r="U72" t="s">
        <v>1608</v>
      </c>
      <c r="V72" t="s">
        <v>1608</v>
      </c>
      <c r="W72" t="s">
        <v>1610</v>
      </c>
      <c r="X72" t="s">
        <v>1608</v>
      </c>
      <c r="Y72" t="s">
        <v>1608</v>
      </c>
      <c r="Z72" t="s">
        <v>1608</v>
      </c>
      <c r="AA72" t="s">
        <v>1608</v>
      </c>
      <c r="AB72" t="s">
        <v>1611</v>
      </c>
      <c r="AC72" t="s">
        <v>1608</v>
      </c>
      <c r="AD72" t="s">
        <v>1608</v>
      </c>
      <c r="AE72" t="s">
        <v>1608</v>
      </c>
      <c r="AF72" t="s">
        <v>1608</v>
      </c>
      <c r="AG72" t="s">
        <v>1608</v>
      </c>
      <c r="AH72" t="s">
        <v>1608</v>
      </c>
      <c r="AI72" t="s">
        <v>1608</v>
      </c>
      <c r="AJ72" t="s">
        <v>1608</v>
      </c>
      <c r="AK72" t="s">
        <v>1608</v>
      </c>
      <c r="AL72" t="s">
        <v>1612</v>
      </c>
      <c r="AM72" t="s">
        <v>1609</v>
      </c>
      <c r="AN72" t="s">
        <v>1608</v>
      </c>
      <c r="AO72" t="s">
        <v>1608</v>
      </c>
      <c r="AP72" t="s">
        <v>1613</v>
      </c>
      <c r="AQ72" t="s">
        <v>1608</v>
      </c>
    </row>
    <row r="73" spans="1:43" x14ac:dyDescent="0.25">
      <c r="A73" s="78" t="s">
        <v>1614</v>
      </c>
      <c r="B73" t="s">
        <v>1614</v>
      </c>
      <c r="C73" t="s">
        <v>1614</v>
      </c>
      <c r="D73" t="s">
        <v>1614</v>
      </c>
      <c r="E73" t="s">
        <v>1614</v>
      </c>
      <c r="F73" t="s">
        <v>1614</v>
      </c>
      <c r="G73" t="s">
        <v>1614</v>
      </c>
      <c r="H73" t="s">
        <v>1614</v>
      </c>
      <c r="I73" t="s">
        <v>1614</v>
      </c>
      <c r="J73" t="s">
        <v>1614</v>
      </c>
      <c r="K73" t="s">
        <v>1614</v>
      </c>
      <c r="L73" t="s">
        <v>1614</v>
      </c>
      <c r="M73" t="s">
        <v>1615</v>
      </c>
      <c r="N73" t="s">
        <v>1614</v>
      </c>
      <c r="O73" t="s">
        <v>1614</v>
      </c>
      <c r="P73" t="s">
        <v>1614</v>
      </c>
      <c r="Q73" t="s">
        <v>1614</v>
      </c>
      <c r="R73" t="s">
        <v>1614</v>
      </c>
      <c r="S73" t="s">
        <v>1614</v>
      </c>
      <c r="T73" t="s">
        <v>1614</v>
      </c>
      <c r="U73" t="s">
        <v>1614</v>
      </c>
      <c r="V73" t="s">
        <v>1614</v>
      </c>
      <c r="W73" t="s">
        <v>1616</v>
      </c>
      <c r="X73" t="s">
        <v>1614</v>
      </c>
      <c r="Y73" t="s">
        <v>1614</v>
      </c>
      <c r="Z73" t="s">
        <v>1614</v>
      </c>
      <c r="AA73" t="s">
        <v>1614</v>
      </c>
      <c r="AB73" t="s">
        <v>1617</v>
      </c>
      <c r="AC73" t="s">
        <v>1614</v>
      </c>
      <c r="AD73" t="s">
        <v>1614</v>
      </c>
      <c r="AE73" t="s">
        <v>1614</v>
      </c>
      <c r="AF73" t="s">
        <v>1614</v>
      </c>
      <c r="AG73" t="s">
        <v>1614</v>
      </c>
      <c r="AH73" t="s">
        <v>1614</v>
      </c>
      <c r="AI73" t="s">
        <v>1614</v>
      </c>
      <c r="AJ73" t="s">
        <v>1614</v>
      </c>
      <c r="AK73" t="s">
        <v>1614</v>
      </c>
      <c r="AL73" t="s">
        <v>1618</v>
      </c>
      <c r="AM73" t="s">
        <v>1615</v>
      </c>
      <c r="AN73" t="s">
        <v>1614</v>
      </c>
      <c r="AO73" t="s">
        <v>1614</v>
      </c>
      <c r="AP73" t="s">
        <v>1619</v>
      </c>
      <c r="AQ73" t="s">
        <v>1614</v>
      </c>
    </row>
    <row r="74" spans="1:43" x14ac:dyDescent="0.25">
      <c r="A74" s="78" t="s">
        <v>1620</v>
      </c>
      <c r="B74" t="s">
        <v>1620</v>
      </c>
      <c r="C74" t="s">
        <v>1620</v>
      </c>
      <c r="D74" t="s">
        <v>1620</v>
      </c>
      <c r="E74" t="s">
        <v>1620</v>
      </c>
      <c r="F74" t="s">
        <v>1620</v>
      </c>
      <c r="G74" t="s">
        <v>1620</v>
      </c>
      <c r="H74" t="s">
        <v>1620</v>
      </c>
      <c r="I74" t="s">
        <v>1620</v>
      </c>
      <c r="J74" t="s">
        <v>1620</v>
      </c>
      <c r="K74" t="s">
        <v>1620</v>
      </c>
      <c r="L74" t="s">
        <v>1620</v>
      </c>
      <c r="M74" t="s">
        <v>1621</v>
      </c>
      <c r="N74" t="s">
        <v>1620</v>
      </c>
      <c r="O74" t="s">
        <v>1620</v>
      </c>
      <c r="P74" t="s">
        <v>1620</v>
      </c>
      <c r="Q74" t="s">
        <v>1622</v>
      </c>
      <c r="R74" t="s">
        <v>1620</v>
      </c>
      <c r="S74" t="s">
        <v>1620</v>
      </c>
      <c r="T74" t="s">
        <v>1620</v>
      </c>
      <c r="U74" t="s">
        <v>1620</v>
      </c>
      <c r="V74" t="s">
        <v>1620</v>
      </c>
      <c r="W74" t="s">
        <v>1623</v>
      </c>
      <c r="X74" t="s">
        <v>1620</v>
      </c>
      <c r="Y74" t="s">
        <v>1620</v>
      </c>
      <c r="Z74" t="s">
        <v>1624</v>
      </c>
      <c r="AA74" t="s">
        <v>1620</v>
      </c>
      <c r="AB74" t="s">
        <v>1625</v>
      </c>
      <c r="AC74" t="s">
        <v>1620</v>
      </c>
      <c r="AD74" t="s">
        <v>1620</v>
      </c>
      <c r="AE74" t="s">
        <v>1620</v>
      </c>
      <c r="AF74" t="s">
        <v>1620</v>
      </c>
      <c r="AG74" t="s">
        <v>1620</v>
      </c>
      <c r="AH74" t="s">
        <v>1620</v>
      </c>
      <c r="AI74" t="s">
        <v>1620</v>
      </c>
      <c r="AJ74" t="s">
        <v>1620</v>
      </c>
      <c r="AK74" t="s">
        <v>1620</v>
      </c>
      <c r="AL74" t="s">
        <v>1626</v>
      </c>
      <c r="AM74" t="s">
        <v>1621</v>
      </c>
      <c r="AN74" t="s">
        <v>1620</v>
      </c>
      <c r="AO74" t="s">
        <v>1620</v>
      </c>
      <c r="AP74" t="s">
        <v>1627</v>
      </c>
      <c r="AQ74" t="s">
        <v>1620</v>
      </c>
    </row>
    <row r="75" spans="1:43" x14ac:dyDescent="0.25">
      <c r="A75" s="78" t="s">
        <v>1628</v>
      </c>
      <c r="B75" t="s">
        <v>1628</v>
      </c>
      <c r="C75" t="s">
        <v>1628</v>
      </c>
      <c r="D75" t="s">
        <v>1628</v>
      </c>
      <c r="E75" t="s">
        <v>1628</v>
      </c>
      <c r="F75" t="s">
        <v>1628</v>
      </c>
      <c r="G75" t="s">
        <v>1628</v>
      </c>
      <c r="H75" t="s">
        <v>1628</v>
      </c>
      <c r="I75" t="s">
        <v>1628</v>
      </c>
      <c r="J75" t="s">
        <v>1628</v>
      </c>
      <c r="K75" t="s">
        <v>1628</v>
      </c>
      <c r="L75" t="s">
        <v>1628</v>
      </c>
      <c r="M75" t="s">
        <v>1629</v>
      </c>
      <c r="N75" t="s">
        <v>1628</v>
      </c>
      <c r="O75" t="s">
        <v>1628</v>
      </c>
      <c r="P75" t="s">
        <v>1628</v>
      </c>
      <c r="Q75" t="s">
        <v>1630</v>
      </c>
      <c r="R75" t="s">
        <v>1628</v>
      </c>
      <c r="S75" t="s">
        <v>1628</v>
      </c>
      <c r="T75" t="s">
        <v>1628</v>
      </c>
      <c r="U75" t="s">
        <v>1628</v>
      </c>
      <c r="V75" t="s">
        <v>1628</v>
      </c>
      <c r="W75" t="s">
        <v>1631</v>
      </c>
      <c r="X75" t="s">
        <v>1628</v>
      </c>
      <c r="Y75" t="s">
        <v>1628</v>
      </c>
      <c r="Z75" t="s">
        <v>1632</v>
      </c>
      <c r="AA75" t="s">
        <v>1628</v>
      </c>
      <c r="AB75" t="s">
        <v>1633</v>
      </c>
      <c r="AC75" t="s">
        <v>1628</v>
      </c>
      <c r="AD75" t="s">
        <v>1628</v>
      </c>
      <c r="AE75" t="s">
        <v>1628</v>
      </c>
      <c r="AF75" t="s">
        <v>1628</v>
      </c>
      <c r="AG75" t="s">
        <v>1628</v>
      </c>
      <c r="AH75" t="s">
        <v>1628</v>
      </c>
      <c r="AI75" t="s">
        <v>1628</v>
      </c>
      <c r="AJ75" t="s">
        <v>1628</v>
      </c>
      <c r="AK75" t="s">
        <v>1628</v>
      </c>
      <c r="AL75" t="s">
        <v>1634</v>
      </c>
      <c r="AM75" t="s">
        <v>1629</v>
      </c>
      <c r="AN75" t="s">
        <v>1628</v>
      </c>
      <c r="AO75" t="s">
        <v>1628</v>
      </c>
      <c r="AP75" t="s">
        <v>1635</v>
      </c>
      <c r="AQ75" t="s">
        <v>1628</v>
      </c>
    </row>
    <row r="76" spans="1:43" x14ac:dyDescent="0.25">
      <c r="A76" s="78" t="s">
        <v>1636</v>
      </c>
      <c r="B76" t="s">
        <v>1636</v>
      </c>
      <c r="C76" t="s">
        <v>1636</v>
      </c>
      <c r="D76" t="s">
        <v>1636</v>
      </c>
      <c r="E76" t="s">
        <v>1636</v>
      </c>
      <c r="F76" t="s">
        <v>1636</v>
      </c>
      <c r="G76" t="s">
        <v>1636</v>
      </c>
      <c r="H76" t="s">
        <v>1636</v>
      </c>
      <c r="I76" t="s">
        <v>1636</v>
      </c>
      <c r="J76" t="s">
        <v>1636</v>
      </c>
      <c r="K76" t="s">
        <v>1636</v>
      </c>
      <c r="L76" t="s">
        <v>1636</v>
      </c>
      <c r="M76" t="s">
        <v>1637</v>
      </c>
      <c r="N76" t="s">
        <v>1636</v>
      </c>
      <c r="O76" t="s">
        <v>1636</v>
      </c>
      <c r="P76" t="s">
        <v>1636</v>
      </c>
      <c r="Q76" t="s">
        <v>1638</v>
      </c>
      <c r="R76" t="s">
        <v>1636</v>
      </c>
      <c r="S76" t="s">
        <v>1636</v>
      </c>
      <c r="T76" t="s">
        <v>1636</v>
      </c>
      <c r="U76" t="s">
        <v>1636</v>
      </c>
      <c r="V76" t="s">
        <v>1636</v>
      </c>
      <c r="W76" t="s">
        <v>1639</v>
      </c>
      <c r="X76" t="s">
        <v>1636</v>
      </c>
      <c r="Y76" t="s">
        <v>1636</v>
      </c>
      <c r="Z76" t="s">
        <v>1636</v>
      </c>
      <c r="AA76" t="s">
        <v>1636</v>
      </c>
      <c r="AB76" t="s">
        <v>1640</v>
      </c>
      <c r="AC76" t="s">
        <v>1636</v>
      </c>
      <c r="AD76" t="s">
        <v>1636</v>
      </c>
      <c r="AE76" t="s">
        <v>1636</v>
      </c>
      <c r="AF76" t="s">
        <v>1636</v>
      </c>
      <c r="AG76" t="s">
        <v>1636</v>
      </c>
      <c r="AH76" t="s">
        <v>1636</v>
      </c>
      <c r="AI76" t="s">
        <v>1636</v>
      </c>
      <c r="AJ76" t="s">
        <v>1636</v>
      </c>
      <c r="AK76" t="s">
        <v>1636</v>
      </c>
      <c r="AL76" t="s">
        <v>1641</v>
      </c>
      <c r="AM76" t="s">
        <v>1637</v>
      </c>
      <c r="AN76" t="s">
        <v>1636</v>
      </c>
      <c r="AO76" t="s">
        <v>1636</v>
      </c>
      <c r="AP76" t="s">
        <v>1642</v>
      </c>
      <c r="AQ76" t="s">
        <v>1636</v>
      </c>
    </row>
    <row r="77" spans="1:43" x14ac:dyDescent="0.25">
      <c r="A77" s="78" t="s">
        <v>1643</v>
      </c>
      <c r="B77" t="s">
        <v>1643</v>
      </c>
      <c r="C77" t="s">
        <v>1643</v>
      </c>
      <c r="D77" t="s">
        <v>1643</v>
      </c>
      <c r="E77" t="s">
        <v>1643</v>
      </c>
      <c r="F77" t="s">
        <v>1643</v>
      </c>
      <c r="G77" t="s">
        <v>1643</v>
      </c>
      <c r="H77" t="s">
        <v>1643</v>
      </c>
      <c r="I77" t="s">
        <v>1643</v>
      </c>
      <c r="J77" t="s">
        <v>1643</v>
      </c>
      <c r="K77" t="s">
        <v>1643</v>
      </c>
      <c r="L77" t="s">
        <v>1643</v>
      </c>
      <c r="M77" t="s">
        <v>1644</v>
      </c>
      <c r="N77" t="s">
        <v>1643</v>
      </c>
      <c r="O77" t="s">
        <v>1643</v>
      </c>
      <c r="P77" t="s">
        <v>1643</v>
      </c>
      <c r="Q77" t="s">
        <v>1645</v>
      </c>
      <c r="R77" t="s">
        <v>1643</v>
      </c>
      <c r="S77" t="s">
        <v>1643</v>
      </c>
      <c r="T77" t="s">
        <v>1643</v>
      </c>
      <c r="U77" t="s">
        <v>1643</v>
      </c>
      <c r="V77" t="s">
        <v>1643</v>
      </c>
      <c r="W77" t="s">
        <v>1646</v>
      </c>
      <c r="X77" t="s">
        <v>1643</v>
      </c>
      <c r="Y77" t="s">
        <v>1643</v>
      </c>
      <c r="Z77" t="s">
        <v>1643</v>
      </c>
      <c r="AA77" t="s">
        <v>1643</v>
      </c>
      <c r="AB77" t="s">
        <v>1647</v>
      </c>
      <c r="AC77" t="s">
        <v>1643</v>
      </c>
      <c r="AD77" t="s">
        <v>1643</v>
      </c>
      <c r="AE77" t="s">
        <v>1643</v>
      </c>
      <c r="AF77" t="s">
        <v>1643</v>
      </c>
      <c r="AG77" t="s">
        <v>1643</v>
      </c>
      <c r="AH77" t="s">
        <v>1643</v>
      </c>
      <c r="AI77" t="s">
        <v>1643</v>
      </c>
      <c r="AJ77" t="s">
        <v>1643</v>
      </c>
      <c r="AK77" t="s">
        <v>1643</v>
      </c>
      <c r="AL77" t="s">
        <v>1648</v>
      </c>
      <c r="AM77" t="s">
        <v>1644</v>
      </c>
      <c r="AN77" t="s">
        <v>1643</v>
      </c>
      <c r="AO77" t="s">
        <v>1643</v>
      </c>
      <c r="AP77" t="s">
        <v>1649</v>
      </c>
      <c r="AQ77" t="s">
        <v>1643</v>
      </c>
    </row>
    <row r="78" spans="1:43" x14ac:dyDescent="0.25">
      <c r="A78" s="78" t="s">
        <v>1650</v>
      </c>
      <c r="B78" t="s">
        <v>1650</v>
      </c>
      <c r="C78" t="s">
        <v>1650</v>
      </c>
      <c r="D78" t="s">
        <v>1650</v>
      </c>
      <c r="E78" t="s">
        <v>1650</v>
      </c>
      <c r="F78" t="s">
        <v>1650</v>
      </c>
      <c r="G78" t="s">
        <v>1650</v>
      </c>
      <c r="H78" t="s">
        <v>1650</v>
      </c>
      <c r="I78" t="s">
        <v>1650</v>
      </c>
      <c r="J78" t="s">
        <v>1650</v>
      </c>
      <c r="K78" t="s">
        <v>1650</v>
      </c>
      <c r="L78" t="s">
        <v>1650</v>
      </c>
      <c r="M78" t="s">
        <v>1651</v>
      </c>
      <c r="N78" t="s">
        <v>1650</v>
      </c>
      <c r="O78" t="s">
        <v>1650</v>
      </c>
      <c r="P78" t="s">
        <v>1650</v>
      </c>
      <c r="Q78" t="s">
        <v>1652</v>
      </c>
      <c r="R78" t="s">
        <v>1650</v>
      </c>
      <c r="S78" t="s">
        <v>1650</v>
      </c>
      <c r="T78" t="s">
        <v>1650</v>
      </c>
      <c r="U78" t="s">
        <v>1650</v>
      </c>
      <c r="V78" t="s">
        <v>1650</v>
      </c>
      <c r="W78" t="s">
        <v>1653</v>
      </c>
      <c r="X78" t="s">
        <v>1650</v>
      </c>
      <c r="Y78" t="s">
        <v>1650</v>
      </c>
      <c r="Z78" t="s">
        <v>1650</v>
      </c>
      <c r="AA78" t="s">
        <v>1650</v>
      </c>
      <c r="AB78" t="s">
        <v>1654</v>
      </c>
      <c r="AC78" t="s">
        <v>1650</v>
      </c>
      <c r="AD78" t="s">
        <v>1650</v>
      </c>
      <c r="AE78" t="s">
        <v>1650</v>
      </c>
      <c r="AF78" t="s">
        <v>1650</v>
      </c>
      <c r="AG78" t="s">
        <v>1650</v>
      </c>
      <c r="AH78" t="s">
        <v>1650</v>
      </c>
      <c r="AI78" t="s">
        <v>1650</v>
      </c>
      <c r="AJ78" t="s">
        <v>1650</v>
      </c>
      <c r="AK78" t="s">
        <v>1650</v>
      </c>
      <c r="AL78" t="s">
        <v>1655</v>
      </c>
      <c r="AM78" t="s">
        <v>1651</v>
      </c>
      <c r="AN78" t="s">
        <v>1650</v>
      </c>
      <c r="AO78" t="s">
        <v>1650</v>
      </c>
      <c r="AP78" t="s">
        <v>1656</v>
      </c>
      <c r="AQ78" t="s">
        <v>1650</v>
      </c>
    </row>
    <row r="79" spans="1:43" x14ac:dyDescent="0.25">
      <c r="A79" s="78" t="s">
        <v>1657</v>
      </c>
      <c r="B79" t="s">
        <v>1657</v>
      </c>
      <c r="C79" t="s">
        <v>1657</v>
      </c>
      <c r="D79" t="s">
        <v>1657</v>
      </c>
      <c r="E79" t="s">
        <v>1657</v>
      </c>
      <c r="F79" t="s">
        <v>1657</v>
      </c>
      <c r="G79" t="s">
        <v>1657</v>
      </c>
      <c r="H79" t="s">
        <v>1657</v>
      </c>
      <c r="I79" t="s">
        <v>1657</v>
      </c>
      <c r="J79" t="s">
        <v>1657</v>
      </c>
      <c r="K79" t="s">
        <v>1657</v>
      </c>
      <c r="L79" t="s">
        <v>1657</v>
      </c>
      <c r="M79" t="s">
        <v>1658</v>
      </c>
      <c r="N79" t="s">
        <v>1657</v>
      </c>
      <c r="O79" t="s">
        <v>1657</v>
      </c>
      <c r="P79" t="s">
        <v>1657</v>
      </c>
      <c r="Q79" t="s">
        <v>1659</v>
      </c>
      <c r="R79" t="s">
        <v>1657</v>
      </c>
      <c r="S79" t="s">
        <v>1657</v>
      </c>
      <c r="T79" t="s">
        <v>1657</v>
      </c>
      <c r="U79" t="s">
        <v>1657</v>
      </c>
      <c r="V79" t="s">
        <v>1657</v>
      </c>
      <c r="W79" t="s">
        <v>1660</v>
      </c>
      <c r="X79" t="s">
        <v>1657</v>
      </c>
      <c r="Y79" t="s">
        <v>1657</v>
      </c>
      <c r="Z79" t="s">
        <v>1657</v>
      </c>
      <c r="AA79" t="s">
        <v>1657</v>
      </c>
      <c r="AB79" t="s">
        <v>1661</v>
      </c>
      <c r="AC79" t="s">
        <v>1657</v>
      </c>
      <c r="AD79" t="s">
        <v>1657</v>
      </c>
      <c r="AE79" t="s">
        <v>1657</v>
      </c>
      <c r="AF79" t="s">
        <v>1657</v>
      </c>
      <c r="AG79" t="s">
        <v>1657</v>
      </c>
      <c r="AH79" t="s">
        <v>1657</v>
      </c>
      <c r="AI79" t="s">
        <v>1657</v>
      </c>
      <c r="AJ79" t="s">
        <v>1657</v>
      </c>
      <c r="AK79" t="s">
        <v>1657</v>
      </c>
      <c r="AL79" t="s">
        <v>1662</v>
      </c>
      <c r="AM79" t="s">
        <v>1658</v>
      </c>
      <c r="AN79" t="s">
        <v>1657</v>
      </c>
      <c r="AO79" t="s">
        <v>1657</v>
      </c>
      <c r="AP79" t="s">
        <v>1663</v>
      </c>
      <c r="AQ79" t="s">
        <v>1657</v>
      </c>
    </row>
    <row r="80" spans="1:43" x14ac:dyDescent="0.25">
      <c r="A80" s="78" t="s">
        <v>1664</v>
      </c>
      <c r="B80" t="s">
        <v>1664</v>
      </c>
      <c r="C80" t="s">
        <v>1664</v>
      </c>
      <c r="D80" t="s">
        <v>1664</v>
      </c>
      <c r="E80" t="s">
        <v>1664</v>
      </c>
      <c r="F80" t="s">
        <v>1664</v>
      </c>
      <c r="G80" t="s">
        <v>1664</v>
      </c>
      <c r="H80" t="s">
        <v>1664</v>
      </c>
      <c r="I80" t="s">
        <v>1664</v>
      </c>
      <c r="J80" t="s">
        <v>1664</v>
      </c>
      <c r="K80" t="s">
        <v>1664</v>
      </c>
      <c r="L80" t="s">
        <v>1664</v>
      </c>
      <c r="M80" t="s">
        <v>1665</v>
      </c>
      <c r="N80" t="s">
        <v>1664</v>
      </c>
      <c r="O80" t="s">
        <v>1664</v>
      </c>
      <c r="P80" t="s">
        <v>1664</v>
      </c>
      <c r="Q80" t="s">
        <v>1666</v>
      </c>
      <c r="R80" t="s">
        <v>1664</v>
      </c>
      <c r="S80" t="s">
        <v>1664</v>
      </c>
      <c r="T80" t="s">
        <v>1664</v>
      </c>
      <c r="U80" t="s">
        <v>1664</v>
      </c>
      <c r="V80" t="s">
        <v>1664</v>
      </c>
      <c r="W80" t="s">
        <v>1667</v>
      </c>
      <c r="X80" t="s">
        <v>1664</v>
      </c>
      <c r="Y80" t="s">
        <v>1664</v>
      </c>
      <c r="Z80" t="s">
        <v>1664</v>
      </c>
      <c r="AA80" t="s">
        <v>1664</v>
      </c>
      <c r="AB80" t="s">
        <v>1668</v>
      </c>
      <c r="AC80" t="s">
        <v>1664</v>
      </c>
      <c r="AD80" t="s">
        <v>1664</v>
      </c>
      <c r="AE80" t="s">
        <v>1664</v>
      </c>
      <c r="AF80" t="s">
        <v>1664</v>
      </c>
      <c r="AG80" t="s">
        <v>1664</v>
      </c>
      <c r="AH80" t="s">
        <v>1664</v>
      </c>
      <c r="AI80" t="s">
        <v>1664</v>
      </c>
      <c r="AJ80" t="s">
        <v>1664</v>
      </c>
      <c r="AK80" t="s">
        <v>1664</v>
      </c>
      <c r="AL80" t="s">
        <v>1669</v>
      </c>
      <c r="AM80" t="s">
        <v>1665</v>
      </c>
      <c r="AN80" t="s">
        <v>1664</v>
      </c>
      <c r="AO80" t="s">
        <v>1664</v>
      </c>
      <c r="AP80" t="s">
        <v>1670</v>
      </c>
      <c r="AQ80" t="s">
        <v>1664</v>
      </c>
    </row>
    <row r="81" spans="1:43" x14ac:dyDescent="0.25">
      <c r="A81" s="78" t="s">
        <v>1671</v>
      </c>
      <c r="B81" t="s">
        <v>1671</v>
      </c>
      <c r="C81" t="s">
        <v>1671</v>
      </c>
      <c r="D81" t="s">
        <v>1671</v>
      </c>
      <c r="E81" t="s">
        <v>1671</v>
      </c>
      <c r="F81" t="s">
        <v>1671</v>
      </c>
      <c r="G81" t="s">
        <v>1671</v>
      </c>
      <c r="H81" t="s">
        <v>1671</v>
      </c>
      <c r="I81" t="s">
        <v>1671</v>
      </c>
      <c r="J81" t="s">
        <v>1671</v>
      </c>
      <c r="K81" t="s">
        <v>1671</v>
      </c>
      <c r="L81" t="s">
        <v>1671</v>
      </c>
      <c r="M81" t="s">
        <v>1672</v>
      </c>
      <c r="N81" t="s">
        <v>1671</v>
      </c>
      <c r="O81" t="s">
        <v>1671</v>
      </c>
      <c r="P81" t="s">
        <v>1671</v>
      </c>
      <c r="Q81" t="s">
        <v>1673</v>
      </c>
      <c r="R81" t="s">
        <v>1671</v>
      </c>
      <c r="S81" t="s">
        <v>1671</v>
      </c>
      <c r="T81" t="s">
        <v>1671</v>
      </c>
      <c r="U81" t="s">
        <v>1671</v>
      </c>
      <c r="V81" t="s">
        <v>1671</v>
      </c>
      <c r="W81" t="s">
        <v>1674</v>
      </c>
      <c r="X81" t="s">
        <v>1671</v>
      </c>
      <c r="Y81" t="s">
        <v>1671</v>
      </c>
      <c r="Z81" t="s">
        <v>1671</v>
      </c>
      <c r="AA81" t="s">
        <v>1671</v>
      </c>
      <c r="AB81" t="s">
        <v>1675</v>
      </c>
      <c r="AC81" t="s">
        <v>1671</v>
      </c>
      <c r="AD81" t="s">
        <v>1671</v>
      </c>
      <c r="AE81" t="s">
        <v>1671</v>
      </c>
      <c r="AF81" t="s">
        <v>1671</v>
      </c>
      <c r="AG81" t="s">
        <v>1671</v>
      </c>
      <c r="AH81" t="s">
        <v>1671</v>
      </c>
      <c r="AI81" t="s">
        <v>1671</v>
      </c>
      <c r="AJ81" t="s">
        <v>1671</v>
      </c>
      <c r="AK81" t="s">
        <v>1671</v>
      </c>
      <c r="AL81" t="s">
        <v>1676</v>
      </c>
      <c r="AM81" t="s">
        <v>1672</v>
      </c>
      <c r="AN81" t="s">
        <v>1671</v>
      </c>
      <c r="AO81" t="s">
        <v>1671</v>
      </c>
      <c r="AP81" t="s">
        <v>1677</v>
      </c>
      <c r="AQ81" t="s">
        <v>1671</v>
      </c>
    </row>
    <row r="82" spans="1:43" x14ac:dyDescent="0.25">
      <c r="A82" s="78" t="s">
        <v>1678</v>
      </c>
      <c r="B82" t="s">
        <v>1678</v>
      </c>
      <c r="C82" t="s">
        <v>1678</v>
      </c>
      <c r="D82" t="s">
        <v>1678</v>
      </c>
      <c r="E82" t="s">
        <v>1678</v>
      </c>
      <c r="F82" t="s">
        <v>1678</v>
      </c>
      <c r="G82" t="s">
        <v>1678</v>
      </c>
      <c r="H82" t="s">
        <v>1678</v>
      </c>
      <c r="I82" t="s">
        <v>1678</v>
      </c>
      <c r="J82" t="s">
        <v>1678</v>
      </c>
      <c r="K82" t="s">
        <v>1678</v>
      </c>
      <c r="L82" t="s">
        <v>1678</v>
      </c>
      <c r="M82" t="s">
        <v>1679</v>
      </c>
      <c r="N82" t="s">
        <v>1678</v>
      </c>
      <c r="O82" t="s">
        <v>1678</v>
      </c>
      <c r="P82" t="s">
        <v>1678</v>
      </c>
      <c r="Q82" t="s">
        <v>1680</v>
      </c>
      <c r="R82" t="s">
        <v>1678</v>
      </c>
      <c r="S82" t="s">
        <v>1678</v>
      </c>
      <c r="T82" t="s">
        <v>1678</v>
      </c>
      <c r="U82" t="s">
        <v>1678</v>
      </c>
      <c r="V82" t="s">
        <v>1678</v>
      </c>
      <c r="W82" t="s">
        <v>1681</v>
      </c>
      <c r="X82" t="s">
        <v>1678</v>
      </c>
      <c r="Y82" t="s">
        <v>1678</v>
      </c>
      <c r="Z82" t="s">
        <v>1682</v>
      </c>
      <c r="AA82" t="s">
        <v>1678</v>
      </c>
      <c r="AB82" t="s">
        <v>1683</v>
      </c>
      <c r="AC82" t="s">
        <v>1678</v>
      </c>
      <c r="AD82" t="s">
        <v>1678</v>
      </c>
      <c r="AE82" t="s">
        <v>1678</v>
      </c>
      <c r="AF82" t="s">
        <v>1678</v>
      </c>
      <c r="AG82" t="s">
        <v>1678</v>
      </c>
      <c r="AH82" t="s">
        <v>1678</v>
      </c>
      <c r="AI82" t="s">
        <v>1678</v>
      </c>
      <c r="AJ82" t="s">
        <v>1678</v>
      </c>
      <c r="AK82" t="s">
        <v>1678</v>
      </c>
      <c r="AL82" t="s">
        <v>1684</v>
      </c>
      <c r="AM82" t="s">
        <v>1679</v>
      </c>
      <c r="AN82" t="s">
        <v>1678</v>
      </c>
      <c r="AO82" t="s">
        <v>1678</v>
      </c>
      <c r="AP82" t="s">
        <v>1685</v>
      </c>
      <c r="AQ82" t="s">
        <v>1678</v>
      </c>
    </row>
    <row r="83" spans="1:43" x14ac:dyDescent="0.25">
      <c r="A83" s="78" t="s">
        <v>1686</v>
      </c>
      <c r="B83" t="s">
        <v>1686</v>
      </c>
      <c r="C83" t="s">
        <v>1686</v>
      </c>
      <c r="D83" t="s">
        <v>1686</v>
      </c>
      <c r="E83" t="s">
        <v>1686</v>
      </c>
      <c r="F83" t="s">
        <v>1686</v>
      </c>
      <c r="G83" t="s">
        <v>1686</v>
      </c>
      <c r="H83" t="s">
        <v>1686</v>
      </c>
      <c r="I83" t="s">
        <v>1686</v>
      </c>
      <c r="J83" t="s">
        <v>1686</v>
      </c>
      <c r="K83" t="s">
        <v>1686</v>
      </c>
      <c r="L83" t="s">
        <v>1686</v>
      </c>
      <c r="M83" t="s">
        <v>1687</v>
      </c>
      <c r="N83" t="s">
        <v>1686</v>
      </c>
      <c r="O83" t="s">
        <v>1686</v>
      </c>
      <c r="P83" t="s">
        <v>1686</v>
      </c>
      <c r="Q83" t="s">
        <v>1688</v>
      </c>
      <c r="R83" t="s">
        <v>1686</v>
      </c>
      <c r="S83" t="s">
        <v>1686</v>
      </c>
      <c r="T83" t="s">
        <v>1686</v>
      </c>
      <c r="U83" t="s">
        <v>1686</v>
      </c>
      <c r="V83" t="s">
        <v>1686</v>
      </c>
      <c r="W83" t="s">
        <v>1689</v>
      </c>
      <c r="X83" t="s">
        <v>1686</v>
      </c>
      <c r="Y83" t="s">
        <v>1686</v>
      </c>
      <c r="Z83" t="s">
        <v>1690</v>
      </c>
      <c r="AA83" t="s">
        <v>1686</v>
      </c>
      <c r="AB83" t="s">
        <v>1691</v>
      </c>
      <c r="AC83" t="s">
        <v>1686</v>
      </c>
      <c r="AD83" t="s">
        <v>1686</v>
      </c>
      <c r="AE83" t="s">
        <v>1686</v>
      </c>
      <c r="AF83" t="s">
        <v>1686</v>
      </c>
      <c r="AG83" t="s">
        <v>1686</v>
      </c>
      <c r="AH83" t="s">
        <v>1686</v>
      </c>
      <c r="AI83" t="s">
        <v>1686</v>
      </c>
      <c r="AJ83" t="s">
        <v>1686</v>
      </c>
      <c r="AK83" t="s">
        <v>1686</v>
      </c>
      <c r="AL83" t="s">
        <v>1692</v>
      </c>
      <c r="AM83" t="s">
        <v>1687</v>
      </c>
      <c r="AN83" t="s">
        <v>1686</v>
      </c>
      <c r="AO83" t="s">
        <v>1686</v>
      </c>
      <c r="AP83" t="s">
        <v>1693</v>
      </c>
      <c r="AQ83" t="s">
        <v>1686</v>
      </c>
    </row>
    <row r="84" spans="1:43" x14ac:dyDescent="0.25">
      <c r="A84" s="78" t="s">
        <v>1694</v>
      </c>
      <c r="B84" t="s">
        <v>1694</v>
      </c>
      <c r="C84" t="s">
        <v>1694</v>
      </c>
      <c r="D84" t="s">
        <v>1694</v>
      </c>
      <c r="E84" t="s">
        <v>1694</v>
      </c>
      <c r="F84" t="s">
        <v>1694</v>
      </c>
      <c r="G84" t="s">
        <v>1694</v>
      </c>
      <c r="H84" t="s">
        <v>1694</v>
      </c>
      <c r="I84" t="s">
        <v>1694</v>
      </c>
      <c r="J84" t="s">
        <v>1694</v>
      </c>
      <c r="K84" t="s">
        <v>1694</v>
      </c>
      <c r="L84" t="s">
        <v>1694</v>
      </c>
      <c r="M84" t="s">
        <v>1695</v>
      </c>
      <c r="N84" t="s">
        <v>1694</v>
      </c>
      <c r="O84" t="s">
        <v>1694</v>
      </c>
      <c r="P84" t="s">
        <v>1694</v>
      </c>
      <c r="Q84" t="s">
        <v>1694</v>
      </c>
      <c r="R84" t="s">
        <v>1694</v>
      </c>
      <c r="S84" t="s">
        <v>1694</v>
      </c>
      <c r="T84" t="s">
        <v>1694</v>
      </c>
      <c r="U84" t="s">
        <v>1694</v>
      </c>
      <c r="V84" t="s">
        <v>1694</v>
      </c>
      <c r="W84" t="s">
        <v>1696</v>
      </c>
      <c r="X84" t="s">
        <v>1694</v>
      </c>
      <c r="Y84" t="s">
        <v>1694</v>
      </c>
      <c r="Z84" t="s">
        <v>1697</v>
      </c>
      <c r="AA84" t="s">
        <v>1694</v>
      </c>
      <c r="AB84" t="s">
        <v>1698</v>
      </c>
      <c r="AC84" t="s">
        <v>1694</v>
      </c>
      <c r="AD84" t="s">
        <v>1694</v>
      </c>
      <c r="AE84" t="s">
        <v>1694</v>
      </c>
      <c r="AF84" t="s">
        <v>1694</v>
      </c>
      <c r="AG84" t="s">
        <v>1694</v>
      </c>
      <c r="AH84" t="s">
        <v>1694</v>
      </c>
      <c r="AI84" t="s">
        <v>1694</v>
      </c>
      <c r="AJ84" t="s">
        <v>1694</v>
      </c>
      <c r="AK84" t="s">
        <v>1694</v>
      </c>
      <c r="AL84" t="s">
        <v>1699</v>
      </c>
      <c r="AM84" t="s">
        <v>1695</v>
      </c>
      <c r="AN84" t="s">
        <v>1694</v>
      </c>
      <c r="AO84" t="s">
        <v>1694</v>
      </c>
      <c r="AP84" t="s">
        <v>1700</v>
      </c>
      <c r="AQ84" t="s">
        <v>1694</v>
      </c>
    </row>
    <row r="85" spans="1:43" x14ac:dyDescent="0.25">
      <c r="A85" s="78" t="s">
        <v>1701</v>
      </c>
      <c r="B85" t="s">
        <v>1701</v>
      </c>
      <c r="C85" t="s">
        <v>1701</v>
      </c>
      <c r="D85" t="s">
        <v>1701</v>
      </c>
      <c r="E85" t="s">
        <v>1701</v>
      </c>
      <c r="F85" t="s">
        <v>1701</v>
      </c>
      <c r="G85" t="s">
        <v>1701</v>
      </c>
      <c r="H85" t="s">
        <v>1701</v>
      </c>
      <c r="I85" t="s">
        <v>1701</v>
      </c>
      <c r="J85" t="s">
        <v>1701</v>
      </c>
      <c r="K85" t="s">
        <v>1701</v>
      </c>
      <c r="L85" t="s">
        <v>1701</v>
      </c>
      <c r="M85" t="s">
        <v>1702</v>
      </c>
      <c r="N85" t="s">
        <v>1701</v>
      </c>
      <c r="O85" t="s">
        <v>1701</v>
      </c>
      <c r="P85" t="s">
        <v>1701</v>
      </c>
      <c r="Q85" t="s">
        <v>1701</v>
      </c>
      <c r="R85" t="s">
        <v>1701</v>
      </c>
      <c r="S85" t="s">
        <v>1701</v>
      </c>
      <c r="T85" t="s">
        <v>1701</v>
      </c>
      <c r="U85" t="s">
        <v>1701</v>
      </c>
      <c r="V85" t="s">
        <v>1701</v>
      </c>
      <c r="W85" t="s">
        <v>1703</v>
      </c>
      <c r="X85" t="s">
        <v>1701</v>
      </c>
      <c r="Y85" t="s">
        <v>1701</v>
      </c>
      <c r="Z85" t="s">
        <v>1697</v>
      </c>
      <c r="AA85" t="s">
        <v>1701</v>
      </c>
      <c r="AB85" t="s">
        <v>1704</v>
      </c>
      <c r="AC85" t="s">
        <v>1701</v>
      </c>
      <c r="AD85" t="s">
        <v>1701</v>
      </c>
      <c r="AE85" t="s">
        <v>1701</v>
      </c>
      <c r="AF85" t="s">
        <v>1701</v>
      </c>
      <c r="AG85" t="s">
        <v>1701</v>
      </c>
      <c r="AH85" t="s">
        <v>1701</v>
      </c>
      <c r="AI85" t="s">
        <v>1701</v>
      </c>
      <c r="AJ85" t="s">
        <v>1701</v>
      </c>
      <c r="AK85" t="s">
        <v>1701</v>
      </c>
      <c r="AL85" t="s">
        <v>1705</v>
      </c>
      <c r="AM85" t="s">
        <v>1702</v>
      </c>
      <c r="AN85" t="s">
        <v>1701</v>
      </c>
      <c r="AO85" t="s">
        <v>1701</v>
      </c>
      <c r="AP85" t="s">
        <v>1706</v>
      </c>
      <c r="AQ85" t="s">
        <v>1701</v>
      </c>
    </row>
    <row r="86" spans="1:43" x14ac:dyDescent="0.25">
      <c r="A86" s="78" t="s">
        <v>1707</v>
      </c>
      <c r="B86" t="s">
        <v>1708</v>
      </c>
      <c r="C86" t="s">
        <v>1707</v>
      </c>
      <c r="D86" t="s">
        <v>1707</v>
      </c>
      <c r="E86" t="s">
        <v>1709</v>
      </c>
      <c r="F86" t="s">
        <v>1707</v>
      </c>
      <c r="G86" t="s">
        <v>1710</v>
      </c>
      <c r="H86" t="s">
        <v>1711</v>
      </c>
      <c r="I86" t="s">
        <v>1707</v>
      </c>
      <c r="J86" t="s">
        <v>1707</v>
      </c>
      <c r="K86" t="s">
        <v>1712</v>
      </c>
      <c r="L86" t="s">
        <v>1712</v>
      </c>
      <c r="M86" t="s">
        <v>1707</v>
      </c>
      <c r="N86" t="s">
        <v>1707</v>
      </c>
      <c r="O86" t="s">
        <v>1713</v>
      </c>
      <c r="P86" t="s">
        <v>1707</v>
      </c>
      <c r="Q86" t="s">
        <v>1714</v>
      </c>
      <c r="R86" t="s">
        <v>1707</v>
      </c>
      <c r="S86" t="s">
        <v>1715</v>
      </c>
      <c r="T86" t="s">
        <v>1707</v>
      </c>
      <c r="U86" t="s">
        <v>1707</v>
      </c>
      <c r="V86" t="s">
        <v>1707</v>
      </c>
      <c r="W86" t="s">
        <v>1716</v>
      </c>
      <c r="X86" t="s">
        <v>1717</v>
      </c>
      <c r="Y86" t="s">
        <v>1718</v>
      </c>
      <c r="Z86" t="s">
        <v>1719</v>
      </c>
      <c r="AA86" t="s">
        <v>1712</v>
      </c>
      <c r="AB86" t="s">
        <v>1720</v>
      </c>
      <c r="AC86" t="s">
        <v>1707</v>
      </c>
      <c r="AD86" t="s">
        <v>1707</v>
      </c>
      <c r="AE86" t="s">
        <v>1721</v>
      </c>
      <c r="AF86" t="s">
        <v>1707</v>
      </c>
      <c r="AG86" t="s">
        <v>1722</v>
      </c>
      <c r="AH86" t="s">
        <v>1712</v>
      </c>
      <c r="AI86" t="s">
        <v>1707</v>
      </c>
      <c r="AJ86" t="s">
        <v>1707</v>
      </c>
      <c r="AK86" t="s">
        <v>1707</v>
      </c>
      <c r="AL86" t="s">
        <v>1723</v>
      </c>
      <c r="AM86" t="s">
        <v>1710</v>
      </c>
      <c r="AN86" t="s">
        <v>1724</v>
      </c>
      <c r="AO86" t="s">
        <v>1725</v>
      </c>
      <c r="AP86" t="s">
        <v>1726</v>
      </c>
      <c r="AQ86" t="s">
        <v>1707</v>
      </c>
    </row>
    <row r="87" spans="1:43" x14ac:dyDescent="0.25">
      <c r="A87" s="78" t="s">
        <v>1727</v>
      </c>
      <c r="B87" t="s">
        <v>1728</v>
      </c>
      <c r="C87" t="s">
        <v>1727</v>
      </c>
      <c r="D87" t="s">
        <v>1727</v>
      </c>
      <c r="E87" t="s">
        <v>1729</v>
      </c>
      <c r="F87" t="s">
        <v>1727</v>
      </c>
      <c r="G87" t="s">
        <v>1730</v>
      </c>
      <c r="H87" t="s">
        <v>1731</v>
      </c>
      <c r="I87" t="s">
        <v>1727</v>
      </c>
      <c r="J87" t="s">
        <v>1727</v>
      </c>
      <c r="K87" t="s">
        <v>1732</v>
      </c>
      <c r="L87" t="s">
        <v>1732</v>
      </c>
      <c r="M87" t="s">
        <v>1727</v>
      </c>
      <c r="N87" t="s">
        <v>1727</v>
      </c>
      <c r="O87" t="s">
        <v>1733</v>
      </c>
      <c r="P87" t="s">
        <v>1727</v>
      </c>
      <c r="Q87" t="s">
        <v>1734</v>
      </c>
      <c r="R87" t="s">
        <v>1727</v>
      </c>
      <c r="S87" t="s">
        <v>1735</v>
      </c>
      <c r="T87" t="s">
        <v>1727</v>
      </c>
      <c r="U87" t="s">
        <v>1727</v>
      </c>
      <c r="V87" t="s">
        <v>1727</v>
      </c>
      <c r="W87" t="s">
        <v>1736</v>
      </c>
      <c r="X87" t="s">
        <v>1737</v>
      </c>
      <c r="Y87" t="s">
        <v>1738</v>
      </c>
      <c r="Z87" t="s">
        <v>1739</v>
      </c>
      <c r="AA87" t="s">
        <v>1732</v>
      </c>
      <c r="AB87" t="s">
        <v>1740</v>
      </c>
      <c r="AC87" t="s">
        <v>1727</v>
      </c>
      <c r="AD87" t="s">
        <v>1727</v>
      </c>
      <c r="AE87" t="s">
        <v>1741</v>
      </c>
      <c r="AF87" t="s">
        <v>1727</v>
      </c>
      <c r="AG87" t="s">
        <v>1742</v>
      </c>
      <c r="AH87" t="s">
        <v>1732</v>
      </c>
      <c r="AI87" t="s">
        <v>1727</v>
      </c>
      <c r="AJ87" t="s">
        <v>1727</v>
      </c>
      <c r="AK87" t="s">
        <v>1727</v>
      </c>
      <c r="AL87" t="s">
        <v>1743</v>
      </c>
      <c r="AM87" t="s">
        <v>1730</v>
      </c>
      <c r="AN87" t="s">
        <v>1744</v>
      </c>
      <c r="AO87" t="s">
        <v>1745</v>
      </c>
      <c r="AP87" t="s">
        <v>1746</v>
      </c>
      <c r="AQ87" t="s">
        <v>1727</v>
      </c>
    </row>
    <row r="88" spans="1:43" x14ac:dyDescent="0.25">
      <c r="A88" s="78" t="s">
        <v>1747</v>
      </c>
      <c r="B88" t="s">
        <v>1748</v>
      </c>
      <c r="C88" t="s">
        <v>1747</v>
      </c>
      <c r="D88" t="s">
        <v>1747</v>
      </c>
      <c r="E88" t="s">
        <v>1749</v>
      </c>
      <c r="F88" t="s">
        <v>1747</v>
      </c>
      <c r="G88" t="s">
        <v>1750</v>
      </c>
      <c r="H88" t="s">
        <v>1751</v>
      </c>
      <c r="I88" t="s">
        <v>1747</v>
      </c>
      <c r="J88" t="s">
        <v>1747</v>
      </c>
      <c r="K88" t="s">
        <v>1752</v>
      </c>
      <c r="L88" t="s">
        <v>1752</v>
      </c>
      <c r="M88" t="s">
        <v>1747</v>
      </c>
      <c r="N88" t="s">
        <v>1747</v>
      </c>
      <c r="O88" t="s">
        <v>1753</v>
      </c>
      <c r="P88" t="s">
        <v>1747</v>
      </c>
      <c r="Q88" t="s">
        <v>1754</v>
      </c>
      <c r="R88" t="s">
        <v>1747</v>
      </c>
      <c r="S88" t="s">
        <v>1755</v>
      </c>
      <c r="T88" t="s">
        <v>1747</v>
      </c>
      <c r="U88" t="s">
        <v>1747</v>
      </c>
      <c r="V88" t="s">
        <v>1747</v>
      </c>
      <c r="W88" t="s">
        <v>1756</v>
      </c>
      <c r="X88" t="s">
        <v>1757</v>
      </c>
      <c r="Y88" t="s">
        <v>1758</v>
      </c>
      <c r="Z88" t="s">
        <v>1759</v>
      </c>
      <c r="AA88" t="s">
        <v>1752</v>
      </c>
      <c r="AB88" t="s">
        <v>1760</v>
      </c>
      <c r="AC88" t="s">
        <v>1747</v>
      </c>
      <c r="AD88" t="s">
        <v>1747</v>
      </c>
      <c r="AE88" t="s">
        <v>1761</v>
      </c>
      <c r="AF88" t="s">
        <v>1747</v>
      </c>
      <c r="AG88" t="s">
        <v>1762</v>
      </c>
      <c r="AH88" t="s">
        <v>1752</v>
      </c>
      <c r="AI88" t="s">
        <v>1747</v>
      </c>
      <c r="AJ88" t="s">
        <v>1747</v>
      </c>
      <c r="AK88" t="s">
        <v>1747</v>
      </c>
      <c r="AL88" t="s">
        <v>1763</v>
      </c>
      <c r="AM88" t="s">
        <v>1750</v>
      </c>
      <c r="AN88" t="s">
        <v>1764</v>
      </c>
      <c r="AO88" t="s">
        <v>1765</v>
      </c>
      <c r="AP88" t="s">
        <v>1766</v>
      </c>
      <c r="AQ88" t="s">
        <v>1747</v>
      </c>
    </row>
    <row r="89" spans="1:43" x14ac:dyDescent="0.25">
      <c r="A89" s="78" t="s">
        <v>1767</v>
      </c>
      <c r="B89" t="s">
        <v>1768</v>
      </c>
      <c r="C89" t="s">
        <v>1767</v>
      </c>
      <c r="D89" t="s">
        <v>1767</v>
      </c>
      <c r="E89" t="s">
        <v>1769</v>
      </c>
      <c r="F89" t="s">
        <v>1767</v>
      </c>
      <c r="G89" t="s">
        <v>1770</v>
      </c>
      <c r="H89" t="s">
        <v>1771</v>
      </c>
      <c r="I89" t="s">
        <v>1767</v>
      </c>
      <c r="J89" t="s">
        <v>1767</v>
      </c>
      <c r="K89" t="s">
        <v>1772</v>
      </c>
      <c r="L89" t="s">
        <v>1772</v>
      </c>
      <c r="M89" t="s">
        <v>1767</v>
      </c>
      <c r="N89" t="s">
        <v>1767</v>
      </c>
      <c r="O89" t="s">
        <v>1773</v>
      </c>
      <c r="P89" t="s">
        <v>1767</v>
      </c>
      <c r="Q89" t="s">
        <v>1774</v>
      </c>
      <c r="R89" t="s">
        <v>1767</v>
      </c>
      <c r="S89" t="s">
        <v>1775</v>
      </c>
      <c r="T89" t="s">
        <v>1767</v>
      </c>
      <c r="U89" t="s">
        <v>1767</v>
      </c>
      <c r="V89" t="s">
        <v>1767</v>
      </c>
      <c r="W89" t="s">
        <v>1776</v>
      </c>
      <c r="X89" t="s">
        <v>1777</v>
      </c>
      <c r="Y89" t="s">
        <v>1778</v>
      </c>
      <c r="Z89" t="s">
        <v>1779</v>
      </c>
      <c r="AA89" t="s">
        <v>1772</v>
      </c>
      <c r="AB89" t="s">
        <v>1780</v>
      </c>
      <c r="AC89" t="s">
        <v>1767</v>
      </c>
      <c r="AD89" t="s">
        <v>1767</v>
      </c>
      <c r="AE89" t="s">
        <v>1781</v>
      </c>
      <c r="AF89" t="s">
        <v>1767</v>
      </c>
      <c r="AG89" t="s">
        <v>1782</v>
      </c>
      <c r="AH89" t="s">
        <v>1772</v>
      </c>
      <c r="AI89" t="s">
        <v>1767</v>
      </c>
      <c r="AJ89" t="s">
        <v>1767</v>
      </c>
      <c r="AK89" t="s">
        <v>1767</v>
      </c>
      <c r="AL89" t="s">
        <v>1783</v>
      </c>
      <c r="AM89" t="s">
        <v>1770</v>
      </c>
      <c r="AN89" t="s">
        <v>1784</v>
      </c>
      <c r="AO89" t="s">
        <v>1785</v>
      </c>
      <c r="AP89" t="s">
        <v>1786</v>
      </c>
      <c r="AQ89" t="s">
        <v>1767</v>
      </c>
    </row>
    <row r="90" spans="1:43" x14ac:dyDescent="0.25">
      <c r="A90" s="78" t="s">
        <v>1787</v>
      </c>
      <c r="B90" t="s">
        <v>1788</v>
      </c>
      <c r="C90" t="s">
        <v>1787</v>
      </c>
      <c r="D90" t="s">
        <v>1787</v>
      </c>
      <c r="E90" t="s">
        <v>1789</v>
      </c>
      <c r="F90" t="s">
        <v>1787</v>
      </c>
      <c r="G90" t="s">
        <v>1790</v>
      </c>
      <c r="H90" t="s">
        <v>1791</v>
      </c>
      <c r="I90" t="s">
        <v>1787</v>
      </c>
      <c r="J90" t="s">
        <v>1787</v>
      </c>
      <c r="K90" t="s">
        <v>1792</v>
      </c>
      <c r="L90" t="s">
        <v>1792</v>
      </c>
      <c r="M90" t="s">
        <v>1787</v>
      </c>
      <c r="N90" t="s">
        <v>1787</v>
      </c>
      <c r="O90" t="s">
        <v>1793</v>
      </c>
      <c r="P90" t="s">
        <v>1787</v>
      </c>
      <c r="Q90" t="s">
        <v>1794</v>
      </c>
      <c r="R90" t="s">
        <v>1787</v>
      </c>
      <c r="S90" t="s">
        <v>1795</v>
      </c>
      <c r="T90" t="s">
        <v>1787</v>
      </c>
      <c r="U90" t="s">
        <v>1787</v>
      </c>
      <c r="V90" t="s">
        <v>1787</v>
      </c>
      <c r="W90" t="s">
        <v>1796</v>
      </c>
      <c r="X90" t="s">
        <v>1797</v>
      </c>
      <c r="Y90" t="s">
        <v>1798</v>
      </c>
      <c r="Z90" t="s">
        <v>1799</v>
      </c>
      <c r="AA90" t="s">
        <v>1792</v>
      </c>
      <c r="AB90" t="s">
        <v>1800</v>
      </c>
      <c r="AC90" t="s">
        <v>1787</v>
      </c>
      <c r="AD90" t="s">
        <v>1787</v>
      </c>
      <c r="AE90" t="s">
        <v>1801</v>
      </c>
      <c r="AF90" t="s">
        <v>1787</v>
      </c>
      <c r="AG90" t="s">
        <v>1802</v>
      </c>
      <c r="AH90" t="s">
        <v>1792</v>
      </c>
      <c r="AI90" t="s">
        <v>1787</v>
      </c>
      <c r="AJ90" t="s">
        <v>1787</v>
      </c>
      <c r="AK90" t="s">
        <v>1787</v>
      </c>
      <c r="AL90" t="s">
        <v>1803</v>
      </c>
      <c r="AM90" t="s">
        <v>1790</v>
      </c>
      <c r="AN90" t="s">
        <v>1804</v>
      </c>
      <c r="AO90" t="s">
        <v>1805</v>
      </c>
      <c r="AP90" t="s">
        <v>1806</v>
      </c>
      <c r="AQ90" t="s">
        <v>1787</v>
      </c>
    </row>
    <row r="91" spans="1:43" x14ac:dyDescent="0.25">
      <c r="A91" s="78" t="s">
        <v>1807</v>
      </c>
      <c r="B91" t="s">
        <v>1808</v>
      </c>
      <c r="C91" t="s">
        <v>1807</v>
      </c>
      <c r="D91" t="s">
        <v>1807</v>
      </c>
      <c r="E91" t="s">
        <v>1809</v>
      </c>
      <c r="F91" t="s">
        <v>1807</v>
      </c>
      <c r="G91" t="s">
        <v>1810</v>
      </c>
      <c r="H91" t="s">
        <v>1811</v>
      </c>
      <c r="I91" t="s">
        <v>1807</v>
      </c>
      <c r="J91" t="s">
        <v>1807</v>
      </c>
      <c r="K91" t="s">
        <v>1812</v>
      </c>
      <c r="L91" t="s">
        <v>1812</v>
      </c>
      <c r="M91" t="s">
        <v>1807</v>
      </c>
      <c r="N91" t="s">
        <v>1807</v>
      </c>
      <c r="O91" t="s">
        <v>1813</v>
      </c>
      <c r="P91" t="s">
        <v>1807</v>
      </c>
      <c r="Q91" t="s">
        <v>1814</v>
      </c>
      <c r="R91" t="s">
        <v>1807</v>
      </c>
      <c r="S91" t="s">
        <v>1815</v>
      </c>
      <c r="T91" t="s">
        <v>1807</v>
      </c>
      <c r="U91" t="s">
        <v>1807</v>
      </c>
      <c r="V91" t="s">
        <v>1807</v>
      </c>
      <c r="W91" t="s">
        <v>1816</v>
      </c>
      <c r="X91" t="s">
        <v>1817</v>
      </c>
      <c r="Y91" t="s">
        <v>1818</v>
      </c>
      <c r="Z91" t="s">
        <v>1819</v>
      </c>
      <c r="AA91" t="s">
        <v>1812</v>
      </c>
      <c r="AB91" t="s">
        <v>1820</v>
      </c>
      <c r="AC91" t="s">
        <v>1807</v>
      </c>
      <c r="AD91" t="s">
        <v>1807</v>
      </c>
      <c r="AE91" t="s">
        <v>1821</v>
      </c>
      <c r="AF91" t="s">
        <v>1807</v>
      </c>
      <c r="AG91" t="s">
        <v>1822</v>
      </c>
      <c r="AH91" t="s">
        <v>1812</v>
      </c>
      <c r="AI91" t="s">
        <v>1807</v>
      </c>
      <c r="AJ91" t="s">
        <v>1807</v>
      </c>
      <c r="AK91" t="s">
        <v>1807</v>
      </c>
      <c r="AL91" t="s">
        <v>1823</v>
      </c>
      <c r="AM91" t="s">
        <v>1810</v>
      </c>
      <c r="AN91" t="s">
        <v>1824</v>
      </c>
      <c r="AO91" t="s">
        <v>1825</v>
      </c>
      <c r="AP91" t="s">
        <v>1826</v>
      </c>
      <c r="AQ91" t="s">
        <v>1807</v>
      </c>
    </row>
    <row r="92" spans="1:43" x14ac:dyDescent="0.25">
      <c r="A92" s="78" t="s">
        <v>1827</v>
      </c>
      <c r="B92" t="s">
        <v>1828</v>
      </c>
      <c r="C92" t="s">
        <v>1827</v>
      </c>
      <c r="D92" t="s">
        <v>1827</v>
      </c>
      <c r="E92" t="s">
        <v>1829</v>
      </c>
      <c r="F92" t="s">
        <v>1827</v>
      </c>
      <c r="G92" t="s">
        <v>1830</v>
      </c>
      <c r="H92" t="s">
        <v>1831</v>
      </c>
      <c r="I92" t="s">
        <v>1827</v>
      </c>
      <c r="J92" t="s">
        <v>1827</v>
      </c>
      <c r="K92" t="s">
        <v>1832</v>
      </c>
      <c r="L92" t="s">
        <v>1832</v>
      </c>
      <c r="M92" t="s">
        <v>1827</v>
      </c>
      <c r="N92" t="s">
        <v>1827</v>
      </c>
      <c r="O92" t="s">
        <v>1833</v>
      </c>
      <c r="P92" t="s">
        <v>1827</v>
      </c>
      <c r="Q92" t="s">
        <v>1834</v>
      </c>
      <c r="R92" t="s">
        <v>1827</v>
      </c>
      <c r="S92" t="s">
        <v>1835</v>
      </c>
      <c r="T92" t="s">
        <v>1827</v>
      </c>
      <c r="U92" t="s">
        <v>1827</v>
      </c>
      <c r="V92" t="s">
        <v>1827</v>
      </c>
      <c r="W92" t="s">
        <v>1836</v>
      </c>
      <c r="X92" t="s">
        <v>1837</v>
      </c>
      <c r="Y92" t="s">
        <v>1838</v>
      </c>
      <c r="Z92" t="s">
        <v>1839</v>
      </c>
      <c r="AA92" t="s">
        <v>1832</v>
      </c>
      <c r="AB92" t="s">
        <v>1840</v>
      </c>
      <c r="AC92" t="s">
        <v>1827</v>
      </c>
      <c r="AD92" t="s">
        <v>1827</v>
      </c>
      <c r="AE92" t="s">
        <v>1841</v>
      </c>
      <c r="AF92" t="s">
        <v>1827</v>
      </c>
      <c r="AG92" t="s">
        <v>1842</v>
      </c>
      <c r="AH92" t="s">
        <v>1832</v>
      </c>
      <c r="AI92" t="s">
        <v>1827</v>
      </c>
      <c r="AJ92" t="s">
        <v>1827</v>
      </c>
      <c r="AK92" t="s">
        <v>1827</v>
      </c>
      <c r="AL92" t="s">
        <v>1843</v>
      </c>
      <c r="AM92" t="s">
        <v>1830</v>
      </c>
      <c r="AN92" t="s">
        <v>1844</v>
      </c>
      <c r="AO92" t="s">
        <v>1845</v>
      </c>
      <c r="AP92" t="s">
        <v>1846</v>
      </c>
      <c r="AQ92" t="s">
        <v>1827</v>
      </c>
    </row>
    <row r="93" spans="1:43" x14ac:dyDescent="0.25">
      <c r="A93" s="78" t="s">
        <v>1847</v>
      </c>
      <c r="B93" t="s">
        <v>1848</v>
      </c>
      <c r="C93" t="s">
        <v>1847</v>
      </c>
      <c r="D93" t="s">
        <v>1847</v>
      </c>
      <c r="E93" t="s">
        <v>1849</v>
      </c>
      <c r="F93" t="s">
        <v>1847</v>
      </c>
      <c r="G93" t="s">
        <v>1850</v>
      </c>
      <c r="H93" t="s">
        <v>1851</v>
      </c>
      <c r="I93" t="s">
        <v>1847</v>
      </c>
      <c r="J93" t="s">
        <v>1847</v>
      </c>
      <c r="K93" t="s">
        <v>1852</v>
      </c>
      <c r="L93" t="s">
        <v>1852</v>
      </c>
      <c r="M93" t="s">
        <v>1847</v>
      </c>
      <c r="N93" t="s">
        <v>1847</v>
      </c>
      <c r="O93" t="s">
        <v>1853</v>
      </c>
      <c r="P93" t="s">
        <v>1847</v>
      </c>
      <c r="Q93" t="s">
        <v>1854</v>
      </c>
      <c r="R93" t="s">
        <v>1847</v>
      </c>
      <c r="S93" t="s">
        <v>1855</v>
      </c>
      <c r="T93" t="s">
        <v>1847</v>
      </c>
      <c r="U93" t="s">
        <v>1847</v>
      </c>
      <c r="V93" t="s">
        <v>1847</v>
      </c>
      <c r="W93" t="s">
        <v>1856</v>
      </c>
      <c r="X93" t="s">
        <v>1857</v>
      </c>
      <c r="Y93" t="s">
        <v>1858</v>
      </c>
      <c r="Z93" t="s">
        <v>1859</v>
      </c>
      <c r="AA93" t="s">
        <v>1852</v>
      </c>
      <c r="AB93" t="s">
        <v>1860</v>
      </c>
      <c r="AC93" t="s">
        <v>1847</v>
      </c>
      <c r="AD93" t="s">
        <v>1847</v>
      </c>
      <c r="AE93" t="s">
        <v>1861</v>
      </c>
      <c r="AF93" t="s">
        <v>1847</v>
      </c>
      <c r="AG93" t="s">
        <v>1862</v>
      </c>
      <c r="AH93" t="s">
        <v>1852</v>
      </c>
      <c r="AI93" t="s">
        <v>1847</v>
      </c>
      <c r="AJ93" t="s">
        <v>1847</v>
      </c>
      <c r="AK93" t="s">
        <v>1847</v>
      </c>
      <c r="AL93" t="s">
        <v>1863</v>
      </c>
      <c r="AM93" t="s">
        <v>1850</v>
      </c>
      <c r="AN93" t="s">
        <v>1864</v>
      </c>
      <c r="AO93" t="s">
        <v>1865</v>
      </c>
      <c r="AP93" t="s">
        <v>1866</v>
      </c>
      <c r="AQ93" t="s">
        <v>1847</v>
      </c>
    </row>
    <row r="94" spans="1:43" x14ac:dyDescent="0.25">
      <c r="A94" s="78" t="s">
        <v>1867</v>
      </c>
      <c r="B94" t="s">
        <v>1868</v>
      </c>
      <c r="C94" t="s">
        <v>1867</v>
      </c>
      <c r="D94" t="s">
        <v>1867</v>
      </c>
      <c r="E94" t="s">
        <v>1869</v>
      </c>
      <c r="F94" t="s">
        <v>1867</v>
      </c>
      <c r="G94" t="s">
        <v>1870</v>
      </c>
      <c r="H94" t="s">
        <v>1871</v>
      </c>
      <c r="I94" t="s">
        <v>1867</v>
      </c>
      <c r="J94" t="s">
        <v>1867</v>
      </c>
      <c r="K94" t="s">
        <v>1872</v>
      </c>
      <c r="L94" t="s">
        <v>1872</v>
      </c>
      <c r="M94" t="s">
        <v>1867</v>
      </c>
      <c r="N94" t="s">
        <v>1867</v>
      </c>
      <c r="O94" t="s">
        <v>1873</v>
      </c>
      <c r="P94" t="s">
        <v>1867</v>
      </c>
      <c r="Q94" t="s">
        <v>1874</v>
      </c>
      <c r="R94" t="s">
        <v>1867</v>
      </c>
      <c r="S94" t="s">
        <v>1875</v>
      </c>
      <c r="T94" t="s">
        <v>1867</v>
      </c>
      <c r="U94" t="s">
        <v>1867</v>
      </c>
      <c r="V94" t="s">
        <v>1867</v>
      </c>
      <c r="W94" t="s">
        <v>1876</v>
      </c>
      <c r="X94" t="s">
        <v>1877</v>
      </c>
      <c r="Y94" t="s">
        <v>1878</v>
      </c>
      <c r="Z94" t="s">
        <v>1879</v>
      </c>
      <c r="AA94" t="s">
        <v>1872</v>
      </c>
      <c r="AB94" t="s">
        <v>1880</v>
      </c>
      <c r="AC94" t="s">
        <v>1867</v>
      </c>
      <c r="AD94" t="s">
        <v>1867</v>
      </c>
      <c r="AE94" t="s">
        <v>1881</v>
      </c>
      <c r="AF94" t="s">
        <v>1867</v>
      </c>
      <c r="AG94" t="s">
        <v>1882</v>
      </c>
      <c r="AH94" t="s">
        <v>1872</v>
      </c>
      <c r="AI94" t="s">
        <v>1867</v>
      </c>
      <c r="AJ94" t="s">
        <v>1867</v>
      </c>
      <c r="AK94" t="s">
        <v>1867</v>
      </c>
      <c r="AL94" t="s">
        <v>1883</v>
      </c>
      <c r="AM94" t="s">
        <v>1870</v>
      </c>
      <c r="AN94" t="s">
        <v>1884</v>
      </c>
      <c r="AO94" t="s">
        <v>1885</v>
      </c>
      <c r="AP94" t="s">
        <v>1886</v>
      </c>
      <c r="AQ94" t="s">
        <v>1867</v>
      </c>
    </row>
    <row r="95" spans="1:43" x14ac:dyDescent="0.25">
      <c r="A95" s="78" t="s">
        <v>1887</v>
      </c>
      <c r="B95" t="s">
        <v>1888</v>
      </c>
      <c r="C95" t="s">
        <v>1887</v>
      </c>
      <c r="D95" t="s">
        <v>1887</v>
      </c>
      <c r="E95" t="s">
        <v>1889</v>
      </c>
      <c r="F95" t="s">
        <v>1887</v>
      </c>
      <c r="G95" t="s">
        <v>1890</v>
      </c>
      <c r="H95" t="s">
        <v>1891</v>
      </c>
      <c r="I95" t="s">
        <v>1887</v>
      </c>
      <c r="J95" t="s">
        <v>1887</v>
      </c>
      <c r="K95" t="s">
        <v>1892</v>
      </c>
      <c r="L95" t="s">
        <v>1892</v>
      </c>
      <c r="M95" t="s">
        <v>1887</v>
      </c>
      <c r="N95" t="s">
        <v>1887</v>
      </c>
      <c r="O95" t="s">
        <v>1893</v>
      </c>
      <c r="P95" t="s">
        <v>1887</v>
      </c>
      <c r="Q95" t="s">
        <v>1894</v>
      </c>
      <c r="R95" t="s">
        <v>1887</v>
      </c>
      <c r="S95" t="s">
        <v>1895</v>
      </c>
      <c r="T95" t="s">
        <v>1887</v>
      </c>
      <c r="U95" t="s">
        <v>1887</v>
      </c>
      <c r="V95" t="s">
        <v>1887</v>
      </c>
      <c r="W95" t="s">
        <v>1896</v>
      </c>
      <c r="X95" t="s">
        <v>1897</v>
      </c>
      <c r="Y95" t="s">
        <v>1898</v>
      </c>
      <c r="Z95" t="s">
        <v>1899</v>
      </c>
      <c r="AA95" t="s">
        <v>1892</v>
      </c>
      <c r="AB95" t="s">
        <v>1900</v>
      </c>
      <c r="AC95" t="s">
        <v>1887</v>
      </c>
      <c r="AD95" t="s">
        <v>1887</v>
      </c>
      <c r="AE95" t="s">
        <v>1901</v>
      </c>
      <c r="AF95" t="s">
        <v>1887</v>
      </c>
      <c r="AG95" t="s">
        <v>1902</v>
      </c>
      <c r="AH95" t="s">
        <v>1892</v>
      </c>
      <c r="AI95" t="s">
        <v>1887</v>
      </c>
      <c r="AJ95" t="s">
        <v>1887</v>
      </c>
      <c r="AK95" t="s">
        <v>1887</v>
      </c>
      <c r="AL95" t="s">
        <v>1903</v>
      </c>
      <c r="AM95" t="s">
        <v>1890</v>
      </c>
      <c r="AN95" t="s">
        <v>1904</v>
      </c>
      <c r="AO95" t="s">
        <v>1905</v>
      </c>
      <c r="AP95" t="s">
        <v>1906</v>
      </c>
      <c r="AQ95" t="s">
        <v>1887</v>
      </c>
    </row>
    <row r="96" spans="1:43" x14ac:dyDescent="0.25">
      <c r="A96" s="78" t="s">
        <v>1907</v>
      </c>
      <c r="B96" t="s">
        <v>1908</v>
      </c>
      <c r="C96" t="s">
        <v>1907</v>
      </c>
      <c r="D96" t="s">
        <v>1907</v>
      </c>
      <c r="E96" t="s">
        <v>1909</v>
      </c>
      <c r="F96" t="s">
        <v>1907</v>
      </c>
      <c r="G96" t="s">
        <v>1910</v>
      </c>
      <c r="H96" t="s">
        <v>1911</v>
      </c>
      <c r="I96" t="s">
        <v>1907</v>
      </c>
      <c r="J96" t="s">
        <v>1907</v>
      </c>
      <c r="K96" t="s">
        <v>1912</v>
      </c>
      <c r="L96" t="s">
        <v>1912</v>
      </c>
      <c r="M96" t="s">
        <v>1907</v>
      </c>
      <c r="N96" t="s">
        <v>1907</v>
      </c>
      <c r="O96" t="s">
        <v>1913</v>
      </c>
      <c r="P96" t="s">
        <v>1907</v>
      </c>
      <c r="Q96" t="s">
        <v>1914</v>
      </c>
      <c r="R96" t="s">
        <v>1907</v>
      </c>
      <c r="S96" t="s">
        <v>1915</v>
      </c>
      <c r="T96" t="s">
        <v>1907</v>
      </c>
      <c r="U96" t="s">
        <v>1907</v>
      </c>
      <c r="V96" t="s">
        <v>1907</v>
      </c>
      <c r="W96" t="s">
        <v>1916</v>
      </c>
      <c r="X96" t="s">
        <v>1917</v>
      </c>
      <c r="Y96" t="s">
        <v>1918</v>
      </c>
      <c r="Z96" t="s">
        <v>1919</v>
      </c>
      <c r="AA96" t="s">
        <v>1912</v>
      </c>
      <c r="AB96" t="s">
        <v>1920</v>
      </c>
      <c r="AC96" t="s">
        <v>1907</v>
      </c>
      <c r="AD96" t="s">
        <v>1907</v>
      </c>
      <c r="AE96" t="s">
        <v>1921</v>
      </c>
      <c r="AF96" t="s">
        <v>1907</v>
      </c>
      <c r="AG96" t="s">
        <v>1922</v>
      </c>
      <c r="AH96" t="s">
        <v>1912</v>
      </c>
      <c r="AI96" t="s">
        <v>1907</v>
      </c>
      <c r="AJ96" t="s">
        <v>1907</v>
      </c>
      <c r="AK96" t="s">
        <v>1907</v>
      </c>
      <c r="AL96" t="s">
        <v>1923</v>
      </c>
      <c r="AM96" t="s">
        <v>1910</v>
      </c>
      <c r="AN96" t="s">
        <v>1924</v>
      </c>
      <c r="AO96" t="s">
        <v>1925</v>
      </c>
      <c r="AP96" t="s">
        <v>1926</v>
      </c>
      <c r="AQ96" t="s">
        <v>1907</v>
      </c>
    </row>
    <row r="97" spans="1:43" x14ac:dyDescent="0.25">
      <c r="A97" s="78" t="s">
        <v>1927</v>
      </c>
      <c r="B97" t="s">
        <v>1928</v>
      </c>
      <c r="C97" t="s">
        <v>1927</v>
      </c>
      <c r="D97" t="s">
        <v>1927</v>
      </c>
      <c r="E97" t="s">
        <v>1929</v>
      </c>
      <c r="F97" t="s">
        <v>1927</v>
      </c>
      <c r="G97" t="s">
        <v>1930</v>
      </c>
      <c r="H97" t="s">
        <v>1931</v>
      </c>
      <c r="I97" t="s">
        <v>1927</v>
      </c>
      <c r="J97" t="s">
        <v>1927</v>
      </c>
      <c r="K97" t="s">
        <v>1932</v>
      </c>
      <c r="L97" t="s">
        <v>1932</v>
      </c>
      <c r="M97" t="s">
        <v>1927</v>
      </c>
      <c r="N97" t="s">
        <v>1927</v>
      </c>
      <c r="O97" t="s">
        <v>1933</v>
      </c>
      <c r="P97" t="s">
        <v>1927</v>
      </c>
      <c r="Q97" t="s">
        <v>1934</v>
      </c>
      <c r="R97" t="s">
        <v>1927</v>
      </c>
      <c r="S97" t="s">
        <v>1935</v>
      </c>
      <c r="T97" t="s">
        <v>1927</v>
      </c>
      <c r="U97" t="s">
        <v>1927</v>
      </c>
      <c r="V97" t="s">
        <v>1927</v>
      </c>
      <c r="W97" t="s">
        <v>1936</v>
      </c>
      <c r="X97" t="s">
        <v>1937</v>
      </c>
      <c r="Y97" t="s">
        <v>1938</v>
      </c>
      <c r="Z97" t="s">
        <v>1939</v>
      </c>
      <c r="AA97" t="s">
        <v>1932</v>
      </c>
      <c r="AB97" t="s">
        <v>1940</v>
      </c>
      <c r="AC97" t="s">
        <v>1927</v>
      </c>
      <c r="AD97" t="s">
        <v>1927</v>
      </c>
      <c r="AE97" t="s">
        <v>1941</v>
      </c>
      <c r="AF97" t="s">
        <v>1927</v>
      </c>
      <c r="AG97" t="s">
        <v>1942</v>
      </c>
      <c r="AH97" t="s">
        <v>1932</v>
      </c>
      <c r="AI97" t="s">
        <v>1927</v>
      </c>
      <c r="AJ97" t="s">
        <v>1927</v>
      </c>
      <c r="AK97" t="s">
        <v>1927</v>
      </c>
      <c r="AL97" t="s">
        <v>1943</v>
      </c>
      <c r="AM97" t="s">
        <v>1930</v>
      </c>
      <c r="AN97" t="s">
        <v>1944</v>
      </c>
      <c r="AO97" t="s">
        <v>1945</v>
      </c>
      <c r="AP97" t="s">
        <v>1946</v>
      </c>
      <c r="AQ97" t="s">
        <v>1927</v>
      </c>
    </row>
    <row r="98" spans="1:43" x14ac:dyDescent="0.25">
      <c r="A98" s="78" t="s">
        <v>1947</v>
      </c>
      <c r="B98" t="s">
        <v>1948</v>
      </c>
      <c r="C98" t="s">
        <v>1947</v>
      </c>
      <c r="D98" t="s">
        <v>1947</v>
      </c>
      <c r="E98" t="s">
        <v>1949</v>
      </c>
      <c r="F98" t="s">
        <v>1947</v>
      </c>
      <c r="G98" t="s">
        <v>1950</v>
      </c>
      <c r="H98" t="s">
        <v>1951</v>
      </c>
      <c r="I98" t="s">
        <v>1947</v>
      </c>
      <c r="J98" t="s">
        <v>1947</v>
      </c>
      <c r="K98" t="s">
        <v>1952</v>
      </c>
      <c r="L98" t="s">
        <v>1952</v>
      </c>
      <c r="M98" t="s">
        <v>1947</v>
      </c>
      <c r="N98" t="s">
        <v>1947</v>
      </c>
      <c r="O98" t="s">
        <v>1953</v>
      </c>
      <c r="P98" t="s">
        <v>1947</v>
      </c>
      <c r="Q98" t="s">
        <v>1954</v>
      </c>
      <c r="R98" t="s">
        <v>1947</v>
      </c>
      <c r="S98" t="s">
        <v>1955</v>
      </c>
      <c r="T98" t="s">
        <v>1947</v>
      </c>
      <c r="U98" t="s">
        <v>1947</v>
      </c>
      <c r="V98" t="s">
        <v>1947</v>
      </c>
      <c r="W98" t="s">
        <v>1956</v>
      </c>
      <c r="X98" t="s">
        <v>1957</v>
      </c>
      <c r="Y98" t="s">
        <v>1958</v>
      </c>
      <c r="Z98" t="s">
        <v>1959</v>
      </c>
      <c r="AA98" t="s">
        <v>1952</v>
      </c>
      <c r="AB98" t="s">
        <v>1960</v>
      </c>
      <c r="AC98" t="s">
        <v>1947</v>
      </c>
      <c r="AD98" t="s">
        <v>1947</v>
      </c>
      <c r="AE98" t="s">
        <v>1961</v>
      </c>
      <c r="AF98" t="s">
        <v>1947</v>
      </c>
      <c r="AG98" t="s">
        <v>1962</v>
      </c>
      <c r="AH98" t="s">
        <v>1952</v>
      </c>
      <c r="AI98" t="s">
        <v>1947</v>
      </c>
      <c r="AJ98" t="s">
        <v>1947</v>
      </c>
      <c r="AK98" t="s">
        <v>1947</v>
      </c>
      <c r="AL98" t="s">
        <v>1963</v>
      </c>
      <c r="AM98" t="s">
        <v>1950</v>
      </c>
      <c r="AN98" t="s">
        <v>1964</v>
      </c>
      <c r="AO98" t="s">
        <v>1965</v>
      </c>
      <c r="AP98" t="s">
        <v>1966</v>
      </c>
      <c r="AQ98" t="s">
        <v>1947</v>
      </c>
    </row>
    <row r="99" spans="1:43" x14ac:dyDescent="0.25">
      <c r="A99" s="78" t="s">
        <v>1967</v>
      </c>
      <c r="B99" t="s">
        <v>1968</v>
      </c>
      <c r="C99" t="s">
        <v>1967</v>
      </c>
      <c r="D99" t="s">
        <v>1967</v>
      </c>
      <c r="E99" t="s">
        <v>1969</v>
      </c>
      <c r="F99" t="s">
        <v>1967</v>
      </c>
      <c r="G99" t="s">
        <v>1970</v>
      </c>
      <c r="H99" t="s">
        <v>1971</v>
      </c>
      <c r="I99" t="s">
        <v>1967</v>
      </c>
      <c r="J99" t="s">
        <v>1967</v>
      </c>
      <c r="K99" t="s">
        <v>1972</v>
      </c>
      <c r="L99" t="s">
        <v>1972</v>
      </c>
      <c r="M99" t="s">
        <v>1967</v>
      </c>
      <c r="N99" t="s">
        <v>1967</v>
      </c>
      <c r="O99" t="s">
        <v>1973</v>
      </c>
      <c r="P99" t="s">
        <v>1967</v>
      </c>
      <c r="Q99" t="s">
        <v>1974</v>
      </c>
      <c r="R99" t="s">
        <v>1967</v>
      </c>
      <c r="S99" t="s">
        <v>1975</v>
      </c>
      <c r="T99" t="s">
        <v>1967</v>
      </c>
      <c r="U99" t="s">
        <v>1967</v>
      </c>
      <c r="V99" t="s">
        <v>1967</v>
      </c>
      <c r="W99" t="s">
        <v>1976</v>
      </c>
      <c r="X99" t="s">
        <v>1977</v>
      </c>
      <c r="Y99" t="s">
        <v>1978</v>
      </c>
      <c r="Z99" t="s">
        <v>1979</v>
      </c>
      <c r="AA99" t="s">
        <v>1972</v>
      </c>
      <c r="AB99" t="s">
        <v>1980</v>
      </c>
      <c r="AC99" t="s">
        <v>1967</v>
      </c>
      <c r="AD99" t="s">
        <v>1967</v>
      </c>
      <c r="AE99" t="s">
        <v>1981</v>
      </c>
      <c r="AF99" t="s">
        <v>1967</v>
      </c>
      <c r="AG99" t="s">
        <v>1982</v>
      </c>
      <c r="AH99" t="s">
        <v>1972</v>
      </c>
      <c r="AI99" t="s">
        <v>1967</v>
      </c>
      <c r="AJ99" t="s">
        <v>1967</v>
      </c>
      <c r="AK99" t="s">
        <v>1967</v>
      </c>
      <c r="AL99" t="s">
        <v>1983</v>
      </c>
      <c r="AM99" t="s">
        <v>1970</v>
      </c>
      <c r="AN99" t="s">
        <v>1984</v>
      </c>
      <c r="AO99" t="s">
        <v>1985</v>
      </c>
      <c r="AP99" t="s">
        <v>1986</v>
      </c>
      <c r="AQ99" t="s">
        <v>1967</v>
      </c>
    </row>
    <row r="100" spans="1:43" x14ac:dyDescent="0.25">
      <c r="A100" s="78" t="s">
        <v>1957</v>
      </c>
      <c r="B100" t="s">
        <v>1987</v>
      </c>
      <c r="C100" t="s">
        <v>1957</v>
      </c>
      <c r="D100" t="s">
        <v>1957</v>
      </c>
      <c r="E100" t="s">
        <v>1988</v>
      </c>
      <c r="F100" t="s">
        <v>1957</v>
      </c>
      <c r="G100" t="s">
        <v>1962</v>
      </c>
      <c r="H100" t="s">
        <v>1989</v>
      </c>
      <c r="I100" t="s">
        <v>1957</v>
      </c>
      <c r="J100" t="s">
        <v>1957</v>
      </c>
      <c r="K100" t="s">
        <v>1962</v>
      </c>
      <c r="L100" t="s">
        <v>1964</v>
      </c>
      <c r="M100" t="s">
        <v>1952</v>
      </c>
      <c r="N100" t="s">
        <v>1957</v>
      </c>
      <c r="O100" t="s">
        <v>1990</v>
      </c>
      <c r="P100" t="s">
        <v>1957</v>
      </c>
      <c r="Q100" t="s">
        <v>1991</v>
      </c>
      <c r="R100" t="s">
        <v>1957</v>
      </c>
      <c r="S100" t="s">
        <v>1952</v>
      </c>
      <c r="T100" t="s">
        <v>1957</v>
      </c>
      <c r="U100" t="s">
        <v>1957</v>
      </c>
      <c r="V100" t="s">
        <v>1957</v>
      </c>
      <c r="W100" t="s">
        <v>1992</v>
      </c>
      <c r="X100" t="s">
        <v>1962</v>
      </c>
      <c r="Y100" t="s">
        <v>1993</v>
      </c>
      <c r="Z100" t="s">
        <v>1964</v>
      </c>
      <c r="AA100" t="s">
        <v>1964</v>
      </c>
      <c r="AB100" t="s">
        <v>1994</v>
      </c>
      <c r="AC100" t="s">
        <v>1957</v>
      </c>
      <c r="AD100" t="s">
        <v>1957</v>
      </c>
      <c r="AE100" t="s">
        <v>1962</v>
      </c>
      <c r="AF100" t="s">
        <v>1957</v>
      </c>
      <c r="AG100" t="s">
        <v>1995</v>
      </c>
      <c r="AH100" t="s">
        <v>1962</v>
      </c>
      <c r="AI100" t="s">
        <v>1957</v>
      </c>
      <c r="AJ100" t="s">
        <v>1957</v>
      </c>
      <c r="AK100" t="s">
        <v>1957</v>
      </c>
      <c r="AL100" t="s">
        <v>1996</v>
      </c>
      <c r="AM100" t="s">
        <v>1988</v>
      </c>
      <c r="AN100" t="s">
        <v>1997</v>
      </c>
      <c r="AO100" t="s">
        <v>1998</v>
      </c>
      <c r="AP100" t="s">
        <v>1999</v>
      </c>
      <c r="AQ100" t="s">
        <v>1957</v>
      </c>
    </row>
    <row r="101" spans="1:43" x14ac:dyDescent="0.25">
      <c r="A101" s="78" t="s">
        <v>1977</v>
      </c>
      <c r="B101" t="s">
        <v>2000</v>
      </c>
      <c r="C101" t="s">
        <v>1977</v>
      </c>
      <c r="D101" t="s">
        <v>1977</v>
      </c>
      <c r="E101" t="s">
        <v>2001</v>
      </c>
      <c r="F101" t="s">
        <v>1977</v>
      </c>
      <c r="G101" t="s">
        <v>1982</v>
      </c>
      <c r="H101" t="s">
        <v>2002</v>
      </c>
      <c r="I101" t="s">
        <v>1977</v>
      </c>
      <c r="J101" t="s">
        <v>1977</v>
      </c>
      <c r="K101" t="s">
        <v>1982</v>
      </c>
      <c r="L101" t="s">
        <v>1984</v>
      </c>
      <c r="M101" t="s">
        <v>1972</v>
      </c>
      <c r="N101" t="s">
        <v>1977</v>
      </c>
      <c r="O101" t="s">
        <v>2003</v>
      </c>
      <c r="P101" t="s">
        <v>1977</v>
      </c>
      <c r="Q101" t="s">
        <v>2004</v>
      </c>
      <c r="R101" t="s">
        <v>1977</v>
      </c>
      <c r="S101" t="s">
        <v>1972</v>
      </c>
      <c r="T101" t="s">
        <v>1977</v>
      </c>
      <c r="U101" t="s">
        <v>1977</v>
      </c>
      <c r="V101" t="s">
        <v>1977</v>
      </c>
      <c r="W101" t="s">
        <v>2005</v>
      </c>
      <c r="X101" t="s">
        <v>1982</v>
      </c>
      <c r="Y101" t="s">
        <v>2006</v>
      </c>
      <c r="Z101" t="s">
        <v>1984</v>
      </c>
      <c r="AA101" t="s">
        <v>1984</v>
      </c>
      <c r="AB101" t="s">
        <v>2007</v>
      </c>
      <c r="AC101" t="s">
        <v>1977</v>
      </c>
      <c r="AD101" t="s">
        <v>1977</v>
      </c>
      <c r="AE101" t="s">
        <v>1982</v>
      </c>
      <c r="AF101" t="s">
        <v>1977</v>
      </c>
      <c r="AG101" t="s">
        <v>2008</v>
      </c>
      <c r="AH101" t="s">
        <v>1982</v>
      </c>
      <c r="AI101" t="s">
        <v>1977</v>
      </c>
      <c r="AJ101" t="s">
        <v>1977</v>
      </c>
      <c r="AK101" t="s">
        <v>1977</v>
      </c>
      <c r="AL101" t="s">
        <v>2009</v>
      </c>
      <c r="AM101" t="s">
        <v>2001</v>
      </c>
      <c r="AN101" t="s">
        <v>2010</v>
      </c>
      <c r="AO101" t="s">
        <v>2011</v>
      </c>
      <c r="AP101" t="s">
        <v>2012</v>
      </c>
      <c r="AQ101" t="s">
        <v>1977</v>
      </c>
    </row>
    <row r="102" spans="1:43" x14ac:dyDescent="0.25">
      <c r="A102" s="78" t="s">
        <v>2153</v>
      </c>
      <c r="B102" t="s">
        <v>2013</v>
      </c>
      <c r="C102" t="s">
        <v>2154</v>
      </c>
      <c r="D102" t="s">
        <v>2155</v>
      </c>
      <c r="E102" t="s">
        <v>2156</v>
      </c>
      <c r="F102" t="s">
        <v>2157</v>
      </c>
      <c r="G102" t="s">
        <v>2158</v>
      </c>
      <c r="H102" t="s">
        <v>2159</v>
      </c>
      <c r="I102" t="s">
        <v>2153</v>
      </c>
      <c r="J102" t="s">
        <v>2160</v>
      </c>
      <c r="K102" t="s">
        <v>2161</v>
      </c>
      <c r="L102" t="s">
        <v>2162</v>
      </c>
      <c r="M102" t="s">
        <v>2163</v>
      </c>
      <c r="N102" t="s">
        <v>2164</v>
      </c>
      <c r="O102" t="s">
        <v>2165</v>
      </c>
      <c r="P102" t="s">
        <v>2166</v>
      </c>
      <c r="Q102" t="s">
        <v>2167</v>
      </c>
      <c r="R102" t="s">
        <v>2168</v>
      </c>
      <c r="S102" t="s">
        <v>2014</v>
      </c>
      <c r="T102" t="s">
        <v>2169</v>
      </c>
      <c r="U102" t="s">
        <v>2170</v>
      </c>
      <c r="V102" t="s">
        <v>2171</v>
      </c>
      <c r="W102" t="s">
        <v>2172</v>
      </c>
      <c r="X102" t="s">
        <v>2173</v>
      </c>
      <c r="Y102" t="s">
        <v>2174</v>
      </c>
      <c r="Z102" t="s">
        <v>2175</v>
      </c>
      <c r="AA102" t="s">
        <v>2176</v>
      </c>
      <c r="AB102" t="s">
        <v>2177</v>
      </c>
      <c r="AC102" t="s">
        <v>2178</v>
      </c>
      <c r="AD102" t="s">
        <v>2179</v>
      </c>
      <c r="AE102" t="s">
        <v>2180</v>
      </c>
      <c r="AF102" t="s">
        <v>2181</v>
      </c>
      <c r="AG102" t="s">
        <v>2182</v>
      </c>
      <c r="AH102" t="s">
        <v>2183</v>
      </c>
      <c r="AI102" t="s">
        <v>2184</v>
      </c>
      <c r="AJ102" t="s">
        <v>2185</v>
      </c>
      <c r="AK102" t="s">
        <v>2186</v>
      </c>
      <c r="AL102" t="s">
        <v>2187</v>
      </c>
      <c r="AM102" t="s">
        <v>2188</v>
      </c>
      <c r="AN102" t="s">
        <v>2189</v>
      </c>
      <c r="AO102" t="s">
        <v>2190</v>
      </c>
      <c r="AP102" t="s">
        <v>2015</v>
      </c>
      <c r="AQ102" t="s">
        <v>2560</v>
      </c>
    </row>
    <row r="103" spans="1:43" x14ac:dyDescent="0.25">
      <c r="A103" s="79"/>
    </row>
    <row r="104" spans="1:43" x14ac:dyDescent="0.25">
      <c r="A104" s="79"/>
    </row>
    <row r="105" spans="1:43" x14ac:dyDescent="0.25">
      <c r="A105" s="79"/>
    </row>
    <row r="106" spans="1:43" x14ac:dyDescent="0.25">
      <c r="A106" s="79"/>
    </row>
    <row r="107" spans="1:43" x14ac:dyDescent="0.25">
      <c r="A107" s="79"/>
    </row>
    <row r="108" spans="1:43" x14ac:dyDescent="0.25">
      <c r="A108" s="79"/>
    </row>
    <row r="109" spans="1:43" x14ac:dyDescent="0.25">
      <c r="A109" s="79"/>
    </row>
    <row r="110" spans="1:43" x14ac:dyDescent="0.25">
      <c r="A110" s="79"/>
    </row>
    <row r="111" spans="1:43" x14ac:dyDescent="0.25">
      <c r="A111" s="79"/>
    </row>
    <row r="112" spans="1:43" x14ac:dyDescent="0.25">
      <c r="A112" s="79"/>
    </row>
    <row r="113" spans="1:42" x14ac:dyDescent="0.25">
      <c r="A113" s="79"/>
    </row>
    <row r="114" spans="1:42" x14ac:dyDescent="0.25">
      <c r="A114" s="79"/>
    </row>
    <row r="115" spans="1:42" x14ac:dyDescent="0.25">
      <c r="A115" s="78" t="s">
        <v>2016</v>
      </c>
      <c r="B115" t="s">
        <v>2017</v>
      </c>
      <c r="C115" t="s">
        <v>2018</v>
      </c>
      <c r="D115" t="s">
        <v>2019</v>
      </c>
      <c r="E115" t="s">
        <v>2020</v>
      </c>
      <c r="F115" t="s">
        <v>2021</v>
      </c>
      <c r="G115" t="s">
        <v>2022</v>
      </c>
      <c r="H115" t="s">
        <v>2023</v>
      </c>
      <c r="I115" t="s">
        <v>2024</v>
      </c>
      <c r="J115" t="s">
        <v>2025</v>
      </c>
      <c r="K115" t="s">
        <v>2026</v>
      </c>
      <c r="L115" t="s">
        <v>2027</v>
      </c>
      <c r="M115" t="s">
        <v>2028</v>
      </c>
      <c r="N115" t="s">
        <v>2029</v>
      </c>
      <c r="O115" t="s">
        <v>2030</v>
      </c>
      <c r="P115" t="s">
        <v>2031</v>
      </c>
      <c r="Q115" t="s">
        <v>2032</v>
      </c>
      <c r="R115" t="s">
        <v>2033</v>
      </c>
      <c r="S115" t="s">
        <v>2034</v>
      </c>
      <c r="T115" t="s">
        <v>2035</v>
      </c>
      <c r="U115" t="s">
        <v>2036</v>
      </c>
      <c r="V115" t="s">
        <v>2037</v>
      </c>
      <c r="W115" t="s">
        <v>2038</v>
      </c>
      <c r="X115" t="s">
        <v>2039</v>
      </c>
      <c r="Y115" t="s">
        <v>2040</v>
      </c>
      <c r="Z115" t="s">
        <v>2041</v>
      </c>
      <c r="AA115" t="s">
        <v>2042</v>
      </c>
      <c r="AB115" t="s">
        <v>2043</v>
      </c>
      <c r="AC115" t="s">
        <v>2044</v>
      </c>
      <c r="AD115" t="s">
        <v>2045</v>
      </c>
      <c r="AE115" t="s">
        <v>2046</v>
      </c>
      <c r="AF115" t="s">
        <v>2047</v>
      </c>
      <c r="AG115" t="s">
        <v>2048</v>
      </c>
      <c r="AH115" t="s">
        <v>2049</v>
      </c>
      <c r="AI115" t="s">
        <v>2050</v>
      </c>
      <c r="AJ115" t="s">
        <v>2051</v>
      </c>
      <c r="AK115" t="s">
        <v>2052</v>
      </c>
      <c r="AL115" t="s">
        <v>2053</v>
      </c>
      <c r="AM115" t="s">
        <v>2054</v>
      </c>
      <c r="AN115" t="s">
        <v>2055</v>
      </c>
      <c r="AO115" t="s">
        <v>2056</v>
      </c>
      <c r="AP115" t="s">
        <v>2057</v>
      </c>
    </row>
  </sheetData>
  <sheetProtection algorithmName="SHA-512" hashValue="RBakK5Wzv2tKxFxLJjL73gZ49s5G5NaJnw+HtjZXrkfs37L1pQIEHm6hpeZg1DFDWb6CQ7HdXc03g8I+h5PKtg==" saltValue="U7obImzxwwVkwwv6SFK+2w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76"/>
  <sheetViews>
    <sheetView topLeftCell="I1" workbookViewId="0">
      <selection activeCell="U182" sqref="U182"/>
    </sheetView>
  </sheetViews>
  <sheetFormatPr defaultRowHeight="11.25" x14ac:dyDescent="0.2"/>
  <cols>
    <col min="1" max="2" width="3.42578125" style="115" customWidth="1"/>
    <col min="3" max="3" width="3.7109375" style="112" customWidth="1"/>
    <col min="4" max="5" width="9.140625" style="112"/>
    <col min="6" max="6" width="9.28515625" style="112" customWidth="1"/>
    <col min="7" max="7" width="5.28515625" style="112" customWidth="1"/>
    <col min="8" max="8" width="18.28515625" style="114" customWidth="1"/>
    <col min="9" max="10" width="3.7109375" style="112" customWidth="1"/>
    <col min="11" max="11" width="18.28515625" style="115" customWidth="1"/>
    <col min="12" max="12" width="24.28515625" style="115" bestFit="1" customWidth="1"/>
    <col min="13" max="13" width="20.7109375" style="115" bestFit="1" customWidth="1"/>
    <col min="14" max="14" width="6.42578125" style="115" customWidth="1"/>
    <col min="15" max="15" width="4.7109375" style="112" customWidth="1"/>
    <col min="16" max="16" width="4.7109375" style="116" customWidth="1"/>
    <col min="17" max="30" width="3.7109375" style="112" customWidth="1"/>
    <col min="31" max="32" width="9.140625" style="115"/>
    <col min="33" max="33" width="17.5703125" style="117" bestFit="1" customWidth="1"/>
    <col min="34" max="16384" width="9.140625" style="115"/>
  </cols>
  <sheetData>
    <row r="1" spans="1:33" s="109" customFormat="1" x14ac:dyDescent="0.2">
      <c r="A1" s="108" t="s">
        <v>2581</v>
      </c>
      <c r="B1" s="108" t="s">
        <v>2582</v>
      </c>
      <c r="C1" s="108" t="s">
        <v>2583</v>
      </c>
      <c r="D1" s="109" t="s">
        <v>2584</v>
      </c>
      <c r="E1" s="109" t="s">
        <v>2585</v>
      </c>
      <c r="F1" s="109" t="s">
        <v>2586</v>
      </c>
      <c r="H1" s="109" t="s">
        <v>986</v>
      </c>
      <c r="K1" s="109" t="s">
        <v>986</v>
      </c>
      <c r="L1" s="109" t="s">
        <v>2587</v>
      </c>
      <c r="M1" s="109" t="s">
        <v>2588</v>
      </c>
      <c r="N1" s="109" t="s">
        <v>2589</v>
      </c>
      <c r="P1" s="110"/>
      <c r="Q1" s="109" t="s">
        <v>2590</v>
      </c>
      <c r="R1" s="109" t="s">
        <v>2591</v>
      </c>
      <c r="S1" s="109" t="s">
        <v>330</v>
      </c>
      <c r="T1" s="109" t="s">
        <v>366</v>
      </c>
      <c r="U1" s="109" t="s">
        <v>301</v>
      </c>
      <c r="V1" s="109" t="s">
        <v>2592</v>
      </c>
      <c r="W1" s="109" t="s">
        <v>2593</v>
      </c>
      <c r="X1" s="109" t="s">
        <v>2594</v>
      </c>
      <c r="Y1" s="109" t="s">
        <v>2595</v>
      </c>
      <c r="Z1" s="109" t="s">
        <v>330</v>
      </c>
      <c r="AA1" s="109" t="s">
        <v>366</v>
      </c>
      <c r="AB1" s="109" t="s">
        <v>301</v>
      </c>
      <c r="AC1" s="109" t="s">
        <v>2592</v>
      </c>
      <c r="AD1" s="109" t="s">
        <v>2593</v>
      </c>
      <c r="AG1" s="111" t="s">
        <v>2596</v>
      </c>
    </row>
    <row r="2" spans="1:33" x14ac:dyDescent="0.2">
      <c r="A2" s="112" t="str">
        <f>IF(SUM(Q2:R2)=1,1+MAX($A$1:A1),"")</f>
        <v/>
      </c>
      <c r="B2" s="112">
        <f>IF(SUM(X2:Y2)=1,1+MAX($B$1:B1),"")</f>
        <v>1</v>
      </c>
      <c r="C2" s="112" t="str">
        <f>IF(SUM(Q2:R2,X2:Y2)=2,1+MAX($C$1:C1),"")</f>
        <v/>
      </c>
      <c r="D2" s="113">
        <v>41833</v>
      </c>
      <c r="E2" s="112">
        <v>2014</v>
      </c>
      <c r="F2" s="112" t="s">
        <v>2597</v>
      </c>
      <c r="G2" s="112" t="s">
        <v>2598</v>
      </c>
      <c r="H2" s="114" t="s">
        <v>1134</v>
      </c>
      <c r="I2" s="112">
        <f t="shared" ref="I2:I65" si="0">INT(LEFT(P2,FIND("-",P2)-1))</f>
        <v>0</v>
      </c>
      <c r="J2" s="112">
        <f t="shared" ref="J2:J65" si="1">INT(RIGHT(P2,LEN(P2)-FIND("-",P2)-1))</f>
        <v>1</v>
      </c>
      <c r="K2" s="115" t="s">
        <v>2547</v>
      </c>
      <c r="L2" s="115" t="s">
        <v>2599</v>
      </c>
      <c r="M2" s="115" t="s">
        <v>2600</v>
      </c>
      <c r="N2" s="115">
        <v>74738</v>
      </c>
      <c r="O2" s="112">
        <v>1</v>
      </c>
      <c r="P2" s="116" t="s">
        <v>2601</v>
      </c>
      <c r="Q2" s="112" t="str">
        <f t="shared" ref="Q2:Q65" si="2">IF(H2=team1,1,"")</f>
        <v/>
      </c>
      <c r="R2" s="112" t="str">
        <f t="shared" ref="R2:R65" si="3">IF(K2=team1,1,"")</f>
        <v/>
      </c>
      <c r="S2" s="112" t="str">
        <f>IF(Q2=1,IF($I2&gt;$J2,1,0),IF(R2=1,IF($I2&lt;$J2,1,0),""))</f>
        <v/>
      </c>
      <c r="T2" s="112" t="str">
        <f>IF(Q2=1,IF($I2=$J2,1,0),IF(R2=1,IF($I2=$J2,1,0),""))</f>
        <v/>
      </c>
      <c r="U2" s="112" t="str">
        <f>IF(Q2=1,IF($I2&lt;$J2,1,0),IF(R2=1,IF($I2&gt;$J2,1,0),""))</f>
        <v/>
      </c>
      <c r="V2" s="112" t="str">
        <f>IF(SUM(Q2:R2)=1,$I2+$J2,"")</f>
        <v/>
      </c>
      <c r="W2" s="112" t="str">
        <f>IF(Q2=1,$I2-$J2,IF(R2=1,-($I2-$J2),""))</f>
        <v/>
      </c>
      <c r="X2" s="112">
        <f t="shared" ref="X2:X65" si="4">IF(H2=team2,1,"")</f>
        <v>1</v>
      </c>
      <c r="Y2" s="112" t="str">
        <f t="shared" ref="Y2:Y65" si="5">IF(K2=team2,1,"")</f>
        <v/>
      </c>
      <c r="Z2" s="112">
        <f>IF(X2=1,IF($I2&gt;$J2,1,0),IF(Y2=1,IF($I2&lt;$J2,1,0),""))</f>
        <v>0</v>
      </c>
      <c r="AA2" s="112">
        <f>IF(X2=1,IF($I2=$J2,1,0),IF(Y2=1,IF($I2=$J2,1,0),""))</f>
        <v>0</v>
      </c>
      <c r="AB2" s="112">
        <f>IF(X2=1,IF($I2&lt;$J2,1,0),IF(Y2=1,IF($I2&gt;$J2,1,0),""))</f>
        <v>1</v>
      </c>
      <c r="AC2" s="112">
        <f>IF(SUM(X2:Y2)=1,$I2+$J2,"")</f>
        <v>1</v>
      </c>
      <c r="AD2" s="112">
        <f>IF(X2=1,$I2-$J2,IF(Y2=1,-($I2-$J2),""))</f>
        <v>-1</v>
      </c>
      <c r="AG2" s="117" t="s">
        <v>2545</v>
      </c>
    </row>
    <row r="3" spans="1:33" x14ac:dyDescent="0.2">
      <c r="A3" s="112" t="str">
        <f>IF(SUM(Q3:R3)=1,1+MAX($A$1:A2),"")</f>
        <v/>
      </c>
      <c r="B3" s="112" t="str">
        <f>IF(SUM(X3:Y3)=1,1+MAX($B$1:B2),"")</f>
        <v/>
      </c>
      <c r="C3" s="112" t="str">
        <f>IF(SUM(Q3:R3,X3:Y3)=2,1+MAX($C$1:C2),"")</f>
        <v/>
      </c>
      <c r="D3" s="113">
        <v>41832</v>
      </c>
      <c r="E3" s="112">
        <v>2014</v>
      </c>
      <c r="F3" s="112" t="s">
        <v>2602</v>
      </c>
      <c r="G3" s="112" t="s">
        <v>2603</v>
      </c>
      <c r="H3" s="114" t="s">
        <v>1442</v>
      </c>
      <c r="I3" s="112">
        <f t="shared" si="0"/>
        <v>0</v>
      </c>
      <c r="J3" s="112">
        <f t="shared" si="1"/>
        <v>3</v>
      </c>
      <c r="K3" s="115" t="s">
        <v>2604</v>
      </c>
      <c r="L3" s="115" t="s">
        <v>2605</v>
      </c>
      <c r="M3" s="115" t="s">
        <v>2606</v>
      </c>
      <c r="N3" s="115">
        <v>68034</v>
      </c>
      <c r="O3" s="112">
        <v>1</v>
      </c>
      <c r="P3" s="116" t="s">
        <v>2607</v>
      </c>
      <c r="Q3" s="112" t="str">
        <f t="shared" si="2"/>
        <v/>
      </c>
      <c r="R3" s="112" t="str">
        <f t="shared" si="3"/>
        <v/>
      </c>
      <c r="S3" s="112" t="str">
        <f t="shared" ref="S3:S66" si="6">IF(Q3=1,IF($I3&gt;$J3,1,0),IF(R3=1,IF($I3&lt;$J3,1,0),""))</f>
        <v/>
      </c>
      <c r="T3" s="112" t="str">
        <f t="shared" ref="T3:T66" si="7">IF(Q3=1,IF($I3=$J3,1,0),IF(R3=1,IF($I3=$J3,1,0),""))</f>
        <v/>
      </c>
      <c r="U3" s="112" t="str">
        <f t="shared" ref="U3:U66" si="8">IF(Q3=1,IF($I3&lt;$J3,1,0),IF(R3=1,IF($I3&gt;$J3,1,0),""))</f>
        <v/>
      </c>
      <c r="V3" s="112" t="str">
        <f t="shared" ref="V3:V66" si="9">IF(SUM(Q3:R3)=1,$I3+$J3,"")</f>
        <v/>
      </c>
      <c r="W3" s="112" t="str">
        <f t="shared" ref="W3:W66" si="10">IF(Q3=1,$I3-$J3,IF(R3=1,-($I3-$J3),""))</f>
        <v/>
      </c>
      <c r="X3" s="112" t="str">
        <f t="shared" si="4"/>
        <v/>
      </c>
      <c r="Y3" s="112" t="str">
        <f t="shared" si="5"/>
        <v/>
      </c>
      <c r="Z3" s="112" t="str">
        <f t="shared" ref="Z3:Z66" si="11">IF(X3=1,IF($I3&gt;$J3,1,0),IF(Y3=1,IF($I3&lt;$J3,1,0),""))</f>
        <v/>
      </c>
      <c r="AA3" s="112" t="str">
        <f t="shared" ref="AA3:AA66" si="12">IF(X3=1,IF($I3=$J3,1,0),IF(Y3=1,IF($I3=$J3,1,0),""))</f>
        <v/>
      </c>
      <c r="AB3" s="112" t="str">
        <f t="shared" ref="AB3:AB66" si="13">IF(X3=1,IF($I3&lt;$J3,1,0),IF(Y3=1,IF($I3&gt;$J3,1,0),""))</f>
        <v/>
      </c>
      <c r="AC3" s="112" t="str">
        <f t="shared" ref="AC3:AC66" si="14">IF(SUM(X3:Y3)=1,$I3+$J3,"")</f>
        <v/>
      </c>
      <c r="AD3" s="112" t="str">
        <f t="shared" ref="AD3:AD66" si="15">IF(X3=1,$I3-$J3,IF(Y3=1,-($I3-$J3),""))</f>
        <v/>
      </c>
      <c r="AG3" s="117" t="s">
        <v>2608</v>
      </c>
    </row>
    <row r="4" spans="1:33" x14ac:dyDescent="0.2">
      <c r="A4" s="112" t="str">
        <f>IF(SUM(Q4:R4)=1,1+MAX($A$1:A3),"")</f>
        <v/>
      </c>
      <c r="B4" s="112">
        <f>IF(SUM(X4:Y4)=1,1+MAX($B$1:B3),"")</f>
        <v>2</v>
      </c>
      <c r="C4" s="112" t="str">
        <f>IF(SUM(Q4:R4,X4:Y4)=2,1+MAX($C$1:C3),"")</f>
        <v/>
      </c>
      <c r="D4" s="113">
        <v>41829</v>
      </c>
      <c r="E4" s="112">
        <v>2014</v>
      </c>
      <c r="F4" s="112" t="s">
        <v>2609</v>
      </c>
      <c r="G4" s="112" t="s">
        <v>2610</v>
      </c>
      <c r="H4" s="114" t="s">
        <v>1134</v>
      </c>
      <c r="I4" s="112">
        <f t="shared" si="0"/>
        <v>0</v>
      </c>
      <c r="J4" s="112">
        <f t="shared" si="1"/>
        <v>0</v>
      </c>
      <c r="K4" s="115" t="s">
        <v>2604</v>
      </c>
      <c r="L4" s="115" t="s">
        <v>2611</v>
      </c>
      <c r="M4" s="115" t="s">
        <v>2612</v>
      </c>
      <c r="N4" s="115">
        <v>63267</v>
      </c>
      <c r="O4" s="112">
        <v>1</v>
      </c>
      <c r="P4" s="116" t="s">
        <v>2613</v>
      </c>
      <c r="Q4" s="112" t="str">
        <f t="shared" si="2"/>
        <v/>
      </c>
      <c r="R4" s="112" t="str">
        <f t="shared" si="3"/>
        <v/>
      </c>
      <c r="S4" s="112" t="str">
        <f t="shared" si="6"/>
        <v/>
      </c>
      <c r="T4" s="112" t="str">
        <f t="shared" si="7"/>
        <v/>
      </c>
      <c r="U4" s="112" t="str">
        <f t="shared" si="8"/>
        <v/>
      </c>
      <c r="V4" s="112" t="str">
        <f t="shared" si="9"/>
        <v/>
      </c>
      <c r="W4" s="112" t="str">
        <f t="shared" si="10"/>
        <v/>
      </c>
      <c r="X4" s="112">
        <f t="shared" si="4"/>
        <v>1</v>
      </c>
      <c r="Y4" s="112" t="str">
        <f t="shared" si="5"/>
        <v/>
      </c>
      <c r="Z4" s="112">
        <f t="shared" si="11"/>
        <v>0</v>
      </c>
      <c r="AA4" s="112">
        <f t="shared" si="12"/>
        <v>1</v>
      </c>
      <c r="AB4" s="112">
        <f t="shared" si="13"/>
        <v>0</v>
      </c>
      <c r="AC4" s="112">
        <f t="shared" si="14"/>
        <v>0</v>
      </c>
      <c r="AD4" s="112">
        <f t="shared" si="15"/>
        <v>0</v>
      </c>
      <c r="AG4" s="117" t="s">
        <v>2614</v>
      </c>
    </row>
    <row r="5" spans="1:33" x14ac:dyDescent="0.2">
      <c r="A5" s="112" t="str">
        <f>IF(SUM(Q5:R5)=1,1+MAX($A$1:A4),"")</f>
        <v/>
      </c>
      <c r="B5" s="112" t="str">
        <f>IF(SUM(X5:Y5)=1,1+MAX($B$1:B4),"")</f>
        <v/>
      </c>
      <c r="C5" s="112" t="str">
        <f>IF(SUM(Q5:R5,X5:Y5)=2,1+MAX($C$1:C4),"")</f>
        <v/>
      </c>
      <c r="D5" s="113">
        <v>41828</v>
      </c>
      <c r="E5" s="112">
        <v>2014</v>
      </c>
      <c r="F5" s="112" t="s">
        <v>2609</v>
      </c>
      <c r="G5" s="112" t="s">
        <v>2610</v>
      </c>
      <c r="H5" s="114" t="s">
        <v>1442</v>
      </c>
      <c r="I5" s="112">
        <f t="shared" si="0"/>
        <v>1</v>
      </c>
      <c r="J5" s="112">
        <f t="shared" si="1"/>
        <v>7</v>
      </c>
      <c r="K5" s="115" t="s">
        <v>2547</v>
      </c>
      <c r="L5" s="115" t="s">
        <v>2615</v>
      </c>
      <c r="M5" s="115" t="s">
        <v>2616</v>
      </c>
      <c r="N5" s="115">
        <v>58141</v>
      </c>
      <c r="O5" s="112">
        <v>1</v>
      </c>
      <c r="P5" s="116" t="s">
        <v>2617</v>
      </c>
      <c r="Q5" s="112" t="str">
        <f t="shared" si="2"/>
        <v/>
      </c>
      <c r="R5" s="112" t="str">
        <f t="shared" si="3"/>
        <v/>
      </c>
      <c r="S5" s="112" t="str">
        <f t="shared" si="6"/>
        <v/>
      </c>
      <c r="T5" s="112" t="str">
        <f t="shared" si="7"/>
        <v/>
      </c>
      <c r="U5" s="112" t="str">
        <f t="shared" si="8"/>
        <v/>
      </c>
      <c r="V5" s="112" t="str">
        <f t="shared" si="9"/>
        <v/>
      </c>
      <c r="W5" s="112" t="str">
        <f t="shared" si="10"/>
        <v/>
      </c>
      <c r="X5" s="112" t="str">
        <f t="shared" si="4"/>
        <v/>
      </c>
      <c r="Y5" s="112" t="str">
        <f t="shared" si="5"/>
        <v/>
      </c>
      <c r="Z5" s="112" t="str">
        <f t="shared" si="11"/>
        <v/>
      </c>
      <c r="AA5" s="112" t="str">
        <f t="shared" si="12"/>
        <v/>
      </c>
      <c r="AB5" s="112" t="str">
        <f t="shared" si="13"/>
        <v/>
      </c>
      <c r="AC5" s="112" t="str">
        <f t="shared" si="14"/>
        <v/>
      </c>
      <c r="AD5" s="112" t="str">
        <f t="shared" si="15"/>
        <v/>
      </c>
      <c r="AG5" s="117" t="s">
        <v>1134</v>
      </c>
    </row>
    <row r="6" spans="1:33" x14ac:dyDescent="0.2">
      <c r="A6" s="112" t="str">
        <f>IF(SUM(Q6:R6)=1,1+MAX($A$1:A5),"")</f>
        <v/>
      </c>
      <c r="B6" s="112" t="str">
        <f>IF(SUM(X6:Y6)=1,1+MAX($B$1:B5),"")</f>
        <v/>
      </c>
      <c r="C6" s="112" t="str">
        <f>IF(SUM(Q6:R6,X6:Y6)=2,1+MAX($C$1:C5),"")</f>
        <v/>
      </c>
      <c r="D6" s="113">
        <v>41825</v>
      </c>
      <c r="E6" s="112">
        <v>2014</v>
      </c>
      <c r="F6" s="112" t="s">
        <v>2618</v>
      </c>
      <c r="G6" s="112" t="s">
        <v>2619</v>
      </c>
      <c r="H6" s="114" t="s">
        <v>2550</v>
      </c>
      <c r="I6" s="112">
        <f t="shared" si="0"/>
        <v>0</v>
      </c>
      <c r="J6" s="112">
        <f t="shared" si="1"/>
        <v>0</v>
      </c>
      <c r="K6" s="115" t="s">
        <v>2604</v>
      </c>
      <c r="L6" s="115" t="s">
        <v>2620</v>
      </c>
      <c r="M6" s="115" t="s">
        <v>2621</v>
      </c>
      <c r="N6" s="115">
        <v>51179</v>
      </c>
      <c r="O6" s="112">
        <v>1</v>
      </c>
      <c r="P6" s="116" t="s">
        <v>2613</v>
      </c>
      <c r="Q6" s="112" t="str">
        <f t="shared" si="2"/>
        <v/>
      </c>
      <c r="R6" s="112" t="str">
        <f t="shared" si="3"/>
        <v/>
      </c>
      <c r="S6" s="112" t="str">
        <f t="shared" si="6"/>
        <v/>
      </c>
      <c r="T6" s="112" t="str">
        <f t="shared" si="7"/>
        <v/>
      </c>
      <c r="U6" s="112" t="str">
        <f t="shared" si="8"/>
        <v/>
      </c>
      <c r="V6" s="112" t="str">
        <f t="shared" si="9"/>
        <v/>
      </c>
      <c r="W6" s="112" t="str">
        <f t="shared" si="10"/>
        <v/>
      </c>
      <c r="X6" s="112" t="str">
        <f t="shared" si="4"/>
        <v/>
      </c>
      <c r="Y6" s="112" t="str">
        <f t="shared" si="5"/>
        <v/>
      </c>
      <c r="Z6" s="112" t="str">
        <f t="shared" si="11"/>
        <v/>
      </c>
      <c r="AA6" s="112" t="str">
        <f t="shared" si="12"/>
        <v/>
      </c>
      <c r="AB6" s="112" t="str">
        <f t="shared" si="13"/>
        <v/>
      </c>
      <c r="AC6" s="112" t="str">
        <f t="shared" si="14"/>
        <v/>
      </c>
      <c r="AD6" s="112" t="str">
        <f t="shared" si="15"/>
        <v/>
      </c>
      <c r="AG6" s="117" t="s">
        <v>1317</v>
      </c>
    </row>
    <row r="7" spans="1:33" x14ac:dyDescent="0.2">
      <c r="A7" s="112" t="str">
        <f>IF(SUM(Q7:R7)=1,1+MAX($A$1:A6),"")</f>
        <v/>
      </c>
      <c r="B7" s="112">
        <f>IF(SUM(X7:Y7)=1,1+MAX($B$1:B6),"")</f>
        <v>3</v>
      </c>
      <c r="C7" s="112" t="str">
        <f>IF(SUM(Q7:R7,X7:Y7)=2,1+MAX($C$1:C6),"")</f>
        <v/>
      </c>
      <c r="D7" s="113">
        <v>41825</v>
      </c>
      <c r="E7" s="112">
        <v>2014</v>
      </c>
      <c r="F7" s="112" t="s">
        <v>2618</v>
      </c>
      <c r="G7" s="112" t="s">
        <v>2619</v>
      </c>
      <c r="H7" s="114" t="s">
        <v>1134</v>
      </c>
      <c r="I7" s="112">
        <f t="shared" si="0"/>
        <v>1</v>
      </c>
      <c r="J7" s="112">
        <f t="shared" si="1"/>
        <v>0</v>
      </c>
      <c r="K7" s="115" t="s">
        <v>2554</v>
      </c>
      <c r="L7" s="115" t="s">
        <v>2605</v>
      </c>
      <c r="M7" s="115" t="s">
        <v>2600</v>
      </c>
      <c r="N7" s="115">
        <v>68551</v>
      </c>
      <c r="O7" s="112">
        <v>1</v>
      </c>
      <c r="P7" s="116" t="s">
        <v>2622</v>
      </c>
      <c r="Q7" s="112" t="str">
        <f t="shared" si="2"/>
        <v/>
      </c>
      <c r="R7" s="112" t="str">
        <f t="shared" si="3"/>
        <v/>
      </c>
      <c r="S7" s="112" t="str">
        <f t="shared" si="6"/>
        <v/>
      </c>
      <c r="T7" s="112" t="str">
        <f t="shared" si="7"/>
        <v/>
      </c>
      <c r="U7" s="112" t="str">
        <f t="shared" si="8"/>
        <v/>
      </c>
      <c r="V7" s="112" t="str">
        <f t="shared" si="9"/>
        <v/>
      </c>
      <c r="W7" s="112" t="str">
        <f t="shared" si="10"/>
        <v/>
      </c>
      <c r="X7" s="112">
        <f t="shared" si="4"/>
        <v>1</v>
      </c>
      <c r="Y7" s="112" t="str">
        <f t="shared" si="5"/>
        <v/>
      </c>
      <c r="Z7" s="112">
        <f t="shared" si="11"/>
        <v>1</v>
      </c>
      <c r="AA7" s="112">
        <f t="shared" si="12"/>
        <v>0</v>
      </c>
      <c r="AB7" s="112">
        <f t="shared" si="13"/>
        <v>0</v>
      </c>
      <c r="AC7" s="112">
        <f t="shared" si="14"/>
        <v>1</v>
      </c>
      <c r="AD7" s="112">
        <f t="shared" si="15"/>
        <v>1</v>
      </c>
      <c r="AG7" s="117" t="s">
        <v>2623</v>
      </c>
    </row>
    <row r="8" spans="1:33" x14ac:dyDescent="0.2">
      <c r="A8" s="112" t="str">
        <f>IF(SUM(Q8:R8)=1,1+MAX($A$1:A7),"")</f>
        <v/>
      </c>
      <c r="B8" s="112" t="str">
        <f>IF(SUM(X8:Y8)=1,1+MAX($B$1:B7),"")</f>
        <v/>
      </c>
      <c r="C8" s="112" t="str">
        <f>IF(SUM(Q8:R8,X8:Y8)=2,1+MAX($C$1:C7),"")</f>
        <v/>
      </c>
      <c r="D8" s="113">
        <v>41824</v>
      </c>
      <c r="E8" s="112">
        <v>2014</v>
      </c>
      <c r="F8" s="112" t="s">
        <v>2618</v>
      </c>
      <c r="G8" s="112" t="s">
        <v>2619</v>
      </c>
      <c r="H8" s="114" t="s">
        <v>1442</v>
      </c>
      <c r="I8" s="112">
        <f t="shared" si="0"/>
        <v>2</v>
      </c>
      <c r="J8" s="112">
        <f t="shared" si="1"/>
        <v>1</v>
      </c>
      <c r="K8" s="115" t="s">
        <v>1347</v>
      </c>
      <c r="L8" s="115" t="s">
        <v>2624</v>
      </c>
      <c r="M8" s="115" t="s">
        <v>2625</v>
      </c>
      <c r="N8" s="115">
        <v>60342</v>
      </c>
      <c r="O8" s="112">
        <v>1</v>
      </c>
      <c r="P8" s="116" t="s">
        <v>2626</v>
      </c>
      <c r="Q8" s="112" t="str">
        <f t="shared" si="2"/>
        <v/>
      </c>
      <c r="R8" s="112" t="str">
        <f t="shared" si="3"/>
        <v/>
      </c>
      <c r="S8" s="112" t="str">
        <f t="shared" si="6"/>
        <v/>
      </c>
      <c r="T8" s="112" t="str">
        <f t="shared" si="7"/>
        <v/>
      </c>
      <c r="U8" s="112" t="str">
        <f t="shared" si="8"/>
        <v/>
      </c>
      <c r="V8" s="112" t="str">
        <f t="shared" si="9"/>
        <v/>
      </c>
      <c r="W8" s="112" t="str">
        <f t="shared" si="10"/>
        <v/>
      </c>
      <c r="X8" s="112" t="str">
        <f t="shared" si="4"/>
        <v/>
      </c>
      <c r="Y8" s="112" t="str">
        <f t="shared" si="5"/>
        <v/>
      </c>
      <c r="Z8" s="112" t="str">
        <f t="shared" si="11"/>
        <v/>
      </c>
      <c r="AA8" s="112" t="str">
        <f t="shared" si="12"/>
        <v/>
      </c>
      <c r="AB8" s="112" t="str">
        <f t="shared" si="13"/>
        <v/>
      </c>
      <c r="AC8" s="112" t="str">
        <f t="shared" si="14"/>
        <v/>
      </c>
      <c r="AD8" s="112" t="str">
        <f t="shared" si="15"/>
        <v/>
      </c>
      <c r="AG8" s="117" t="s">
        <v>2627</v>
      </c>
    </row>
    <row r="9" spans="1:33" x14ac:dyDescent="0.2">
      <c r="A9" s="112" t="str">
        <f>IF(SUM(Q9:R9)=1,1+MAX($A$1:A8),"")</f>
        <v/>
      </c>
      <c r="B9" s="112" t="str">
        <f>IF(SUM(X9:Y9)=1,1+MAX($B$1:B8),"")</f>
        <v/>
      </c>
      <c r="C9" s="112" t="str">
        <f>IF(SUM(Q9:R9,X9:Y9)=2,1+MAX($C$1:C8),"")</f>
        <v/>
      </c>
      <c r="D9" s="113">
        <v>41824</v>
      </c>
      <c r="E9" s="112">
        <v>2014</v>
      </c>
      <c r="F9" s="112" t="s">
        <v>2618</v>
      </c>
      <c r="G9" s="112" t="s">
        <v>2619</v>
      </c>
      <c r="H9" s="114" t="s">
        <v>2541</v>
      </c>
      <c r="I9" s="112">
        <f t="shared" si="0"/>
        <v>0</v>
      </c>
      <c r="J9" s="112">
        <f t="shared" si="1"/>
        <v>1</v>
      </c>
      <c r="K9" s="115" t="s">
        <v>2547</v>
      </c>
      <c r="L9" s="115" t="s">
        <v>2599</v>
      </c>
      <c r="M9" s="115" t="s">
        <v>2628</v>
      </c>
      <c r="N9" s="115">
        <v>74240</v>
      </c>
      <c r="O9" s="112">
        <v>1</v>
      </c>
      <c r="P9" s="116" t="s">
        <v>2601</v>
      </c>
      <c r="Q9" s="112" t="str">
        <f t="shared" si="2"/>
        <v/>
      </c>
      <c r="R9" s="112" t="str">
        <f t="shared" si="3"/>
        <v/>
      </c>
      <c r="S9" s="112" t="str">
        <f t="shared" si="6"/>
        <v/>
      </c>
      <c r="T9" s="112" t="str">
        <f t="shared" si="7"/>
        <v/>
      </c>
      <c r="U9" s="112" t="str">
        <f t="shared" si="8"/>
        <v/>
      </c>
      <c r="V9" s="112" t="str">
        <f t="shared" si="9"/>
        <v/>
      </c>
      <c r="W9" s="112" t="str">
        <f t="shared" si="10"/>
        <v/>
      </c>
      <c r="X9" s="112" t="str">
        <f t="shared" si="4"/>
        <v/>
      </c>
      <c r="Y9" s="112" t="str">
        <f t="shared" si="5"/>
        <v/>
      </c>
      <c r="Z9" s="112" t="str">
        <f t="shared" si="11"/>
        <v/>
      </c>
      <c r="AA9" s="112" t="str">
        <f t="shared" si="12"/>
        <v/>
      </c>
      <c r="AB9" s="112" t="str">
        <f t="shared" si="13"/>
        <v/>
      </c>
      <c r="AC9" s="112" t="str">
        <f t="shared" si="14"/>
        <v/>
      </c>
      <c r="AD9" s="112" t="str">
        <f t="shared" si="15"/>
        <v/>
      </c>
      <c r="AG9" s="117" t="s">
        <v>2554</v>
      </c>
    </row>
    <row r="10" spans="1:33" x14ac:dyDescent="0.2">
      <c r="A10" s="112" t="str">
        <f>IF(SUM(Q10:R10)=1,1+MAX($A$1:A9),"")</f>
        <v/>
      </c>
      <c r="B10" s="112" t="str">
        <f>IF(SUM(X10:Y10)=1,1+MAX($B$1:B9),"")</f>
        <v/>
      </c>
      <c r="C10" s="112" t="str">
        <f>IF(SUM(Q10:R10,X10:Y10)=2,1+MAX($C$1:C9),"")</f>
        <v/>
      </c>
      <c r="D10" s="113">
        <v>41821</v>
      </c>
      <c r="E10" s="112">
        <v>2014</v>
      </c>
      <c r="F10" s="112" t="s">
        <v>2629</v>
      </c>
      <c r="G10" s="112" t="s">
        <v>2630</v>
      </c>
      <c r="H10" s="114" t="s">
        <v>2554</v>
      </c>
      <c r="I10" s="112">
        <f t="shared" si="0"/>
        <v>2</v>
      </c>
      <c r="J10" s="112">
        <f t="shared" si="1"/>
        <v>1</v>
      </c>
      <c r="K10" s="115" t="s">
        <v>2614</v>
      </c>
      <c r="L10" s="115" t="s">
        <v>2620</v>
      </c>
      <c r="M10" s="115" t="s">
        <v>2606</v>
      </c>
      <c r="N10" s="115">
        <v>51227</v>
      </c>
      <c r="O10" s="112">
        <v>1</v>
      </c>
      <c r="P10" s="116" t="s">
        <v>2626</v>
      </c>
      <c r="Q10" s="112" t="str">
        <f t="shared" si="2"/>
        <v/>
      </c>
      <c r="R10" s="112" t="str">
        <f t="shared" si="3"/>
        <v/>
      </c>
      <c r="S10" s="112" t="str">
        <f t="shared" si="6"/>
        <v/>
      </c>
      <c r="T10" s="112" t="str">
        <f t="shared" si="7"/>
        <v/>
      </c>
      <c r="U10" s="112" t="str">
        <f t="shared" si="8"/>
        <v/>
      </c>
      <c r="V10" s="112" t="str">
        <f t="shared" si="9"/>
        <v/>
      </c>
      <c r="W10" s="112" t="str">
        <f t="shared" si="10"/>
        <v/>
      </c>
      <c r="X10" s="112" t="str">
        <f t="shared" si="4"/>
        <v/>
      </c>
      <c r="Y10" s="112" t="str">
        <f t="shared" si="5"/>
        <v/>
      </c>
      <c r="Z10" s="112" t="str">
        <f t="shared" si="11"/>
        <v/>
      </c>
      <c r="AA10" s="112" t="str">
        <f t="shared" si="12"/>
        <v/>
      </c>
      <c r="AB10" s="112" t="str">
        <f t="shared" si="13"/>
        <v/>
      </c>
      <c r="AC10" s="112" t="str">
        <f t="shared" si="14"/>
        <v/>
      </c>
      <c r="AD10" s="112" t="str">
        <f t="shared" si="15"/>
        <v/>
      </c>
      <c r="AG10" s="117" t="s">
        <v>2631</v>
      </c>
    </row>
    <row r="11" spans="1:33" x14ac:dyDescent="0.2">
      <c r="A11" s="112" t="str">
        <f>IF(SUM(Q11:R11)=1,1+MAX($A$1:A10),"")</f>
        <v/>
      </c>
      <c r="B11" s="112">
        <f>IF(SUM(X11:Y11)=1,1+MAX($B$1:B10),"")</f>
        <v>4</v>
      </c>
      <c r="C11" s="112" t="str">
        <f>IF(SUM(Q11:R11,X11:Y11)=2,1+MAX($C$1:C10),"")</f>
        <v/>
      </c>
      <c r="D11" s="113">
        <v>41821</v>
      </c>
      <c r="E11" s="112">
        <v>2014</v>
      </c>
      <c r="F11" s="112" t="s">
        <v>2629</v>
      </c>
      <c r="G11" s="112" t="s">
        <v>2630</v>
      </c>
      <c r="H11" s="114" t="s">
        <v>1134</v>
      </c>
      <c r="I11" s="112">
        <f t="shared" si="0"/>
        <v>1</v>
      </c>
      <c r="J11" s="112">
        <f t="shared" si="1"/>
        <v>0</v>
      </c>
      <c r="K11" s="115" t="s">
        <v>2558</v>
      </c>
      <c r="L11" s="115" t="s">
        <v>2632</v>
      </c>
      <c r="M11" s="115" t="s">
        <v>2633</v>
      </c>
      <c r="N11" s="115">
        <v>63255</v>
      </c>
      <c r="O11" s="112">
        <v>1</v>
      </c>
      <c r="P11" s="116" t="s">
        <v>2622</v>
      </c>
      <c r="Q11" s="112" t="str">
        <f t="shared" si="2"/>
        <v/>
      </c>
      <c r="R11" s="112" t="str">
        <f t="shared" si="3"/>
        <v/>
      </c>
      <c r="S11" s="112" t="str">
        <f t="shared" si="6"/>
        <v/>
      </c>
      <c r="T11" s="112" t="str">
        <f t="shared" si="7"/>
        <v/>
      </c>
      <c r="U11" s="112" t="str">
        <f t="shared" si="8"/>
        <v/>
      </c>
      <c r="V11" s="112" t="str">
        <f t="shared" si="9"/>
        <v/>
      </c>
      <c r="W11" s="112" t="str">
        <f t="shared" si="10"/>
        <v/>
      </c>
      <c r="X11" s="112">
        <f t="shared" si="4"/>
        <v>1</v>
      </c>
      <c r="Y11" s="112" t="str">
        <f t="shared" si="5"/>
        <v/>
      </c>
      <c r="Z11" s="112">
        <f t="shared" si="11"/>
        <v>1</v>
      </c>
      <c r="AA11" s="112">
        <f t="shared" si="12"/>
        <v>0</v>
      </c>
      <c r="AB11" s="112">
        <f t="shared" si="13"/>
        <v>0</v>
      </c>
      <c r="AC11" s="112">
        <f t="shared" si="14"/>
        <v>1</v>
      </c>
      <c r="AD11" s="112">
        <f t="shared" si="15"/>
        <v>1</v>
      </c>
      <c r="AG11" s="117" t="s">
        <v>2634</v>
      </c>
    </row>
    <row r="12" spans="1:33" x14ac:dyDescent="0.2">
      <c r="A12" s="112" t="str">
        <f>IF(SUM(Q12:R12)=1,1+MAX($A$1:A11),"")</f>
        <v/>
      </c>
      <c r="B12" s="112" t="str">
        <f>IF(SUM(X12:Y12)=1,1+MAX($B$1:B11),"")</f>
        <v/>
      </c>
      <c r="C12" s="112" t="str">
        <f>IF(SUM(Q12:R12,X12:Y12)=2,1+MAX($C$1:C11),"")</f>
        <v/>
      </c>
      <c r="D12" s="113">
        <v>41820</v>
      </c>
      <c r="E12" s="112">
        <v>2014</v>
      </c>
      <c r="F12" s="112" t="s">
        <v>2629</v>
      </c>
      <c r="G12" s="112" t="s">
        <v>2630</v>
      </c>
      <c r="H12" s="114" t="s">
        <v>2635</v>
      </c>
      <c r="I12" s="112">
        <f t="shared" si="0"/>
        <v>1</v>
      </c>
      <c r="J12" s="112">
        <f t="shared" si="1"/>
        <v>2</v>
      </c>
      <c r="K12" s="115" t="s">
        <v>2547</v>
      </c>
      <c r="L12" s="115" t="s">
        <v>2636</v>
      </c>
      <c r="M12" s="115" t="s">
        <v>2637</v>
      </c>
      <c r="N12" s="115">
        <v>43063</v>
      </c>
      <c r="O12" s="112">
        <v>1</v>
      </c>
      <c r="P12" s="116" t="s">
        <v>2638</v>
      </c>
      <c r="Q12" s="112" t="str">
        <f t="shared" si="2"/>
        <v/>
      </c>
      <c r="R12" s="112" t="str">
        <f t="shared" si="3"/>
        <v/>
      </c>
      <c r="S12" s="112" t="str">
        <f t="shared" si="6"/>
        <v/>
      </c>
      <c r="T12" s="112" t="str">
        <f t="shared" si="7"/>
        <v/>
      </c>
      <c r="U12" s="112" t="str">
        <f t="shared" si="8"/>
        <v/>
      </c>
      <c r="V12" s="112" t="str">
        <f t="shared" si="9"/>
        <v/>
      </c>
      <c r="W12" s="112" t="str">
        <f t="shared" si="10"/>
        <v/>
      </c>
      <c r="X12" s="112" t="str">
        <f t="shared" si="4"/>
        <v/>
      </c>
      <c r="Y12" s="112" t="str">
        <f t="shared" si="5"/>
        <v/>
      </c>
      <c r="Z12" s="112" t="str">
        <f t="shared" si="11"/>
        <v/>
      </c>
      <c r="AA12" s="112" t="str">
        <f t="shared" si="12"/>
        <v/>
      </c>
      <c r="AB12" s="112" t="str">
        <f t="shared" si="13"/>
        <v/>
      </c>
      <c r="AC12" s="112" t="str">
        <f t="shared" si="14"/>
        <v/>
      </c>
      <c r="AD12" s="112" t="str">
        <f t="shared" si="15"/>
        <v/>
      </c>
      <c r="AG12" s="117" t="s">
        <v>2639</v>
      </c>
    </row>
    <row r="13" spans="1:33" x14ac:dyDescent="0.2">
      <c r="A13" s="112" t="str">
        <f>IF(SUM(Q13:R13)=1,1+MAX($A$1:A12),"")</f>
        <v/>
      </c>
      <c r="B13" s="112" t="str">
        <f>IF(SUM(X13:Y13)=1,1+MAX($B$1:B12),"")</f>
        <v/>
      </c>
      <c r="C13" s="112" t="str">
        <f>IF(SUM(Q13:R13,X13:Y13)=2,1+MAX($C$1:C12),"")</f>
        <v/>
      </c>
      <c r="D13" s="113">
        <v>41820</v>
      </c>
      <c r="E13" s="112">
        <v>2014</v>
      </c>
      <c r="F13" s="112" t="s">
        <v>2629</v>
      </c>
      <c r="G13" s="112" t="s">
        <v>2630</v>
      </c>
      <c r="H13" s="114" t="s">
        <v>2541</v>
      </c>
      <c r="I13" s="112">
        <f t="shared" si="0"/>
        <v>2</v>
      </c>
      <c r="J13" s="112">
        <f t="shared" si="1"/>
        <v>0</v>
      </c>
      <c r="K13" s="115" t="s">
        <v>2542</v>
      </c>
      <c r="L13" s="115" t="s">
        <v>2605</v>
      </c>
      <c r="M13" s="115" t="s">
        <v>2640</v>
      </c>
      <c r="N13" s="115">
        <v>67882</v>
      </c>
      <c r="O13" s="112">
        <v>1</v>
      </c>
      <c r="P13" s="116" t="s">
        <v>2641</v>
      </c>
      <c r="Q13" s="112" t="str">
        <f t="shared" si="2"/>
        <v/>
      </c>
      <c r="R13" s="112" t="str">
        <f t="shared" si="3"/>
        <v/>
      </c>
      <c r="S13" s="112" t="str">
        <f t="shared" si="6"/>
        <v/>
      </c>
      <c r="T13" s="112" t="str">
        <f t="shared" si="7"/>
        <v/>
      </c>
      <c r="U13" s="112" t="str">
        <f t="shared" si="8"/>
        <v/>
      </c>
      <c r="V13" s="112" t="str">
        <f t="shared" si="9"/>
        <v/>
      </c>
      <c r="W13" s="112" t="str">
        <f t="shared" si="10"/>
        <v/>
      </c>
      <c r="X13" s="112" t="str">
        <f t="shared" si="4"/>
        <v/>
      </c>
      <c r="Y13" s="112" t="str">
        <f t="shared" si="5"/>
        <v/>
      </c>
      <c r="Z13" s="112" t="str">
        <f t="shared" si="11"/>
        <v/>
      </c>
      <c r="AA13" s="112" t="str">
        <f t="shared" si="12"/>
        <v/>
      </c>
      <c r="AB13" s="112" t="str">
        <f t="shared" si="13"/>
        <v/>
      </c>
      <c r="AC13" s="112" t="str">
        <f t="shared" si="14"/>
        <v/>
      </c>
      <c r="AD13" s="112" t="str">
        <f t="shared" si="15"/>
        <v/>
      </c>
      <c r="AG13" s="117" t="s">
        <v>1442</v>
      </c>
    </row>
    <row r="14" spans="1:33" x14ac:dyDescent="0.2">
      <c r="A14" s="112" t="str">
        <f>IF(SUM(Q14:R14)=1,1+MAX($A$1:A13),"")</f>
        <v/>
      </c>
      <c r="B14" s="112" t="str">
        <f>IF(SUM(X14:Y14)=1,1+MAX($B$1:B13),"")</f>
        <v/>
      </c>
      <c r="C14" s="112" t="str">
        <f>IF(SUM(Q14:R14,X14:Y14)=2,1+MAX($C$1:C13),"")</f>
        <v/>
      </c>
      <c r="D14" s="113">
        <v>41819</v>
      </c>
      <c r="E14" s="112">
        <v>2014</v>
      </c>
      <c r="F14" s="112" t="s">
        <v>2629</v>
      </c>
      <c r="G14" s="112" t="s">
        <v>2630</v>
      </c>
      <c r="H14" s="114" t="s">
        <v>2550</v>
      </c>
      <c r="I14" s="112">
        <f t="shared" si="0"/>
        <v>1</v>
      </c>
      <c r="J14" s="112">
        <f t="shared" si="1"/>
        <v>1</v>
      </c>
      <c r="K14" s="115" t="s">
        <v>2642</v>
      </c>
      <c r="L14" s="115" t="s">
        <v>2643</v>
      </c>
      <c r="M14" s="115" t="s">
        <v>2644</v>
      </c>
      <c r="N14" s="115">
        <v>41242</v>
      </c>
      <c r="O14" s="112">
        <v>1</v>
      </c>
      <c r="P14" s="116" t="s">
        <v>2645</v>
      </c>
      <c r="Q14" s="112" t="str">
        <f t="shared" si="2"/>
        <v/>
      </c>
      <c r="R14" s="112" t="str">
        <f t="shared" si="3"/>
        <v/>
      </c>
      <c r="S14" s="112" t="str">
        <f t="shared" si="6"/>
        <v/>
      </c>
      <c r="T14" s="112" t="str">
        <f t="shared" si="7"/>
        <v/>
      </c>
      <c r="U14" s="112" t="str">
        <f t="shared" si="8"/>
        <v/>
      </c>
      <c r="V14" s="112" t="str">
        <f t="shared" si="9"/>
        <v/>
      </c>
      <c r="W14" s="112" t="str">
        <f t="shared" si="10"/>
        <v/>
      </c>
      <c r="X14" s="112" t="str">
        <f t="shared" si="4"/>
        <v/>
      </c>
      <c r="Y14" s="112" t="str">
        <f t="shared" si="5"/>
        <v/>
      </c>
      <c r="Z14" s="112" t="str">
        <f t="shared" si="11"/>
        <v/>
      </c>
      <c r="AA14" s="112" t="str">
        <f t="shared" si="12"/>
        <v/>
      </c>
      <c r="AB14" s="112" t="str">
        <f t="shared" si="13"/>
        <v/>
      </c>
      <c r="AC14" s="112" t="str">
        <f t="shared" si="14"/>
        <v/>
      </c>
      <c r="AD14" s="112" t="str">
        <f t="shared" si="15"/>
        <v/>
      </c>
      <c r="AG14" s="117" t="s">
        <v>2646</v>
      </c>
    </row>
    <row r="15" spans="1:33" x14ac:dyDescent="0.2">
      <c r="A15" s="112" t="str">
        <f>IF(SUM(Q15:R15)=1,1+MAX($A$1:A14),"")</f>
        <v/>
      </c>
      <c r="B15" s="112" t="str">
        <f>IF(SUM(X15:Y15)=1,1+MAX($B$1:B14),"")</f>
        <v/>
      </c>
      <c r="C15" s="112" t="str">
        <f>IF(SUM(Q15:R15,X15:Y15)=2,1+MAX($C$1:C14),"")</f>
        <v/>
      </c>
      <c r="D15" s="113">
        <v>41819</v>
      </c>
      <c r="E15" s="112">
        <v>2014</v>
      </c>
      <c r="F15" s="112" t="s">
        <v>2629</v>
      </c>
      <c r="G15" s="112" t="s">
        <v>2630</v>
      </c>
      <c r="H15" s="114" t="s">
        <v>1061</v>
      </c>
      <c r="I15" s="112">
        <f t="shared" si="0"/>
        <v>1</v>
      </c>
      <c r="J15" s="112">
        <f t="shared" si="1"/>
        <v>2</v>
      </c>
      <c r="K15" s="115" t="s">
        <v>2604</v>
      </c>
      <c r="L15" s="115" t="s">
        <v>2624</v>
      </c>
      <c r="M15" s="115" t="s">
        <v>2647</v>
      </c>
      <c r="N15" s="115">
        <v>58817</v>
      </c>
      <c r="O15" s="112">
        <v>1</v>
      </c>
      <c r="P15" s="116" t="s">
        <v>2638</v>
      </c>
      <c r="Q15" s="112" t="str">
        <f t="shared" si="2"/>
        <v/>
      </c>
      <c r="R15" s="112" t="str">
        <f t="shared" si="3"/>
        <v/>
      </c>
      <c r="S15" s="112" t="str">
        <f t="shared" si="6"/>
        <v/>
      </c>
      <c r="T15" s="112" t="str">
        <f t="shared" si="7"/>
        <v/>
      </c>
      <c r="U15" s="112" t="str">
        <f t="shared" si="8"/>
        <v/>
      </c>
      <c r="V15" s="112" t="str">
        <f t="shared" si="9"/>
        <v/>
      </c>
      <c r="W15" s="112" t="str">
        <f t="shared" si="10"/>
        <v/>
      </c>
      <c r="X15" s="112" t="str">
        <f t="shared" si="4"/>
        <v/>
      </c>
      <c r="Y15" s="112" t="str">
        <f t="shared" si="5"/>
        <v/>
      </c>
      <c r="Z15" s="112" t="str">
        <f t="shared" si="11"/>
        <v/>
      </c>
      <c r="AA15" s="112" t="str">
        <f t="shared" si="12"/>
        <v/>
      </c>
      <c r="AB15" s="112" t="str">
        <f t="shared" si="13"/>
        <v/>
      </c>
      <c r="AC15" s="112" t="str">
        <f t="shared" si="14"/>
        <v/>
      </c>
      <c r="AD15" s="112" t="str">
        <f t="shared" si="15"/>
        <v/>
      </c>
      <c r="AG15" s="117" t="s">
        <v>2648</v>
      </c>
    </row>
    <row r="16" spans="1:33" x14ac:dyDescent="0.2">
      <c r="A16" s="112" t="str">
        <f>IF(SUM(Q16:R16)=1,1+MAX($A$1:A15),"")</f>
        <v/>
      </c>
      <c r="B16" s="112" t="str">
        <f>IF(SUM(X16:Y16)=1,1+MAX($B$1:B15),"")</f>
        <v/>
      </c>
      <c r="C16" s="112" t="str">
        <f>IF(SUM(Q16:R16,X16:Y16)=2,1+MAX($C$1:C15),"")</f>
        <v/>
      </c>
      <c r="D16" s="113">
        <v>41818</v>
      </c>
      <c r="E16" s="112">
        <v>2014</v>
      </c>
      <c r="F16" s="112" t="s">
        <v>2629</v>
      </c>
      <c r="G16" s="112" t="s">
        <v>2630</v>
      </c>
      <c r="H16" s="114" t="s">
        <v>1347</v>
      </c>
      <c r="I16" s="112">
        <f t="shared" si="0"/>
        <v>2</v>
      </c>
      <c r="J16" s="112">
        <f t="shared" si="1"/>
        <v>0</v>
      </c>
      <c r="K16" s="115" t="s">
        <v>2540</v>
      </c>
      <c r="L16" s="115" t="s">
        <v>2599</v>
      </c>
      <c r="M16" s="115" t="s">
        <v>2649</v>
      </c>
      <c r="N16" s="115">
        <v>73804</v>
      </c>
      <c r="O16" s="112">
        <v>1</v>
      </c>
      <c r="P16" s="116" t="s">
        <v>2641</v>
      </c>
      <c r="Q16" s="112" t="str">
        <f t="shared" si="2"/>
        <v/>
      </c>
      <c r="R16" s="112" t="str">
        <f t="shared" si="3"/>
        <v/>
      </c>
      <c r="S16" s="112" t="str">
        <f t="shared" si="6"/>
        <v/>
      </c>
      <c r="T16" s="112" t="str">
        <f t="shared" si="7"/>
        <v/>
      </c>
      <c r="U16" s="112" t="str">
        <f t="shared" si="8"/>
        <v/>
      </c>
      <c r="V16" s="112" t="str">
        <f t="shared" si="9"/>
        <v/>
      </c>
      <c r="W16" s="112" t="str">
        <f t="shared" si="10"/>
        <v/>
      </c>
      <c r="X16" s="112" t="str">
        <f t="shared" si="4"/>
        <v/>
      </c>
      <c r="Y16" s="112" t="str">
        <f t="shared" si="5"/>
        <v/>
      </c>
      <c r="Z16" s="112" t="str">
        <f t="shared" si="11"/>
        <v/>
      </c>
      <c r="AA16" s="112" t="str">
        <f t="shared" si="12"/>
        <v/>
      </c>
      <c r="AB16" s="112" t="str">
        <f t="shared" si="13"/>
        <v/>
      </c>
      <c r="AC16" s="112" t="str">
        <f t="shared" si="14"/>
        <v/>
      </c>
      <c r="AD16" s="112" t="str">
        <f t="shared" si="15"/>
        <v/>
      </c>
      <c r="AG16" s="117" t="s">
        <v>2650</v>
      </c>
    </row>
    <row r="17" spans="1:33" x14ac:dyDescent="0.2">
      <c r="A17" s="112" t="str">
        <f>IF(SUM(Q17:R17)=1,1+MAX($A$1:A16),"")</f>
        <v/>
      </c>
      <c r="B17" s="112" t="str">
        <f>IF(SUM(X17:Y17)=1,1+MAX($B$1:B16),"")</f>
        <v/>
      </c>
      <c r="C17" s="112" t="str">
        <f>IF(SUM(Q17:R17,X17:Y17)=2,1+MAX($C$1:C16),"")</f>
        <v/>
      </c>
      <c r="D17" s="113">
        <v>41818</v>
      </c>
      <c r="E17" s="112">
        <v>2014</v>
      </c>
      <c r="F17" s="112" t="s">
        <v>2629</v>
      </c>
      <c r="G17" s="112" t="s">
        <v>2630</v>
      </c>
      <c r="H17" s="114" t="s">
        <v>1442</v>
      </c>
      <c r="I17" s="112">
        <f t="shared" si="0"/>
        <v>1</v>
      </c>
      <c r="J17" s="112">
        <f t="shared" si="1"/>
        <v>1</v>
      </c>
      <c r="K17" s="115" t="s">
        <v>2650</v>
      </c>
      <c r="L17" s="115" t="s">
        <v>2615</v>
      </c>
      <c r="M17" s="115" t="s">
        <v>2651</v>
      </c>
      <c r="N17" s="115">
        <v>57714</v>
      </c>
      <c r="O17" s="112">
        <v>1</v>
      </c>
      <c r="P17" s="116" t="s">
        <v>2645</v>
      </c>
      <c r="Q17" s="112" t="str">
        <f t="shared" si="2"/>
        <v/>
      </c>
      <c r="R17" s="112" t="str">
        <f t="shared" si="3"/>
        <v/>
      </c>
      <c r="S17" s="112" t="str">
        <f t="shared" si="6"/>
        <v/>
      </c>
      <c r="T17" s="112" t="str">
        <f t="shared" si="7"/>
        <v/>
      </c>
      <c r="U17" s="112" t="str">
        <f t="shared" si="8"/>
        <v/>
      </c>
      <c r="V17" s="112" t="str">
        <f t="shared" si="9"/>
        <v/>
      </c>
      <c r="W17" s="112" t="str">
        <f t="shared" si="10"/>
        <v/>
      </c>
      <c r="X17" s="112" t="str">
        <f t="shared" si="4"/>
        <v/>
      </c>
      <c r="Y17" s="112" t="str">
        <f t="shared" si="5"/>
        <v/>
      </c>
      <c r="Z17" s="112" t="str">
        <f t="shared" si="11"/>
        <v/>
      </c>
      <c r="AA17" s="112" t="str">
        <f t="shared" si="12"/>
        <v/>
      </c>
      <c r="AB17" s="112" t="str">
        <f t="shared" si="13"/>
        <v/>
      </c>
      <c r="AC17" s="112" t="str">
        <f t="shared" si="14"/>
        <v/>
      </c>
      <c r="AD17" s="112" t="str">
        <f t="shared" si="15"/>
        <v/>
      </c>
      <c r="AG17" s="117" t="s">
        <v>2548</v>
      </c>
    </row>
    <row r="18" spans="1:33" x14ac:dyDescent="0.2">
      <c r="A18" s="112" t="str">
        <f>IF(SUM(Q18:R18)=1,1+MAX($A$1:A17),"")</f>
        <v/>
      </c>
      <c r="B18" s="112" t="str">
        <f>IF(SUM(X18:Y18)=1,1+MAX($B$1:B17),"")</f>
        <v/>
      </c>
      <c r="C18" s="112" t="str">
        <f>IF(SUM(Q18:R18,X18:Y18)=2,1+MAX($C$1:C17),"")</f>
        <v/>
      </c>
      <c r="D18" s="113">
        <v>41816</v>
      </c>
      <c r="E18" s="112">
        <v>2014</v>
      </c>
      <c r="F18" s="112" t="s">
        <v>2652</v>
      </c>
      <c r="G18" s="112" t="s">
        <v>2653</v>
      </c>
      <c r="H18" s="114" t="s">
        <v>2635</v>
      </c>
      <c r="I18" s="112">
        <f t="shared" si="0"/>
        <v>1</v>
      </c>
      <c r="J18" s="112">
        <f t="shared" si="1"/>
        <v>1</v>
      </c>
      <c r="K18" s="115" t="s">
        <v>2546</v>
      </c>
      <c r="L18" s="115" t="s">
        <v>2654</v>
      </c>
      <c r="M18" s="115" t="s">
        <v>2612</v>
      </c>
      <c r="N18" s="115">
        <v>39311</v>
      </c>
      <c r="O18" s="112">
        <v>1</v>
      </c>
      <c r="P18" s="116" t="s">
        <v>2645</v>
      </c>
      <c r="Q18" s="112" t="str">
        <f t="shared" si="2"/>
        <v/>
      </c>
      <c r="R18" s="112" t="str">
        <f t="shared" si="3"/>
        <v/>
      </c>
      <c r="S18" s="112" t="str">
        <f t="shared" si="6"/>
        <v/>
      </c>
      <c r="T18" s="112" t="str">
        <f t="shared" si="7"/>
        <v/>
      </c>
      <c r="U18" s="112" t="str">
        <f t="shared" si="8"/>
        <v/>
      </c>
      <c r="V18" s="112" t="str">
        <f t="shared" si="9"/>
        <v/>
      </c>
      <c r="W18" s="112" t="str">
        <f t="shared" si="10"/>
        <v/>
      </c>
      <c r="X18" s="112" t="str">
        <f t="shared" si="4"/>
        <v/>
      </c>
      <c r="Y18" s="112" t="str">
        <f t="shared" si="5"/>
        <v/>
      </c>
      <c r="Z18" s="112" t="str">
        <f t="shared" si="11"/>
        <v/>
      </c>
      <c r="AA18" s="112" t="str">
        <f t="shared" si="12"/>
        <v/>
      </c>
      <c r="AB18" s="112" t="str">
        <f t="shared" si="13"/>
        <v/>
      </c>
      <c r="AC18" s="112" t="str">
        <f t="shared" si="14"/>
        <v/>
      </c>
      <c r="AD18" s="112" t="str">
        <f t="shared" si="15"/>
        <v/>
      </c>
      <c r="AG18" s="117" t="s">
        <v>2655</v>
      </c>
    </row>
    <row r="19" spans="1:33" x14ac:dyDescent="0.2">
      <c r="A19" s="112" t="str">
        <f>IF(SUM(Q19:R19)=1,1+MAX($A$1:A18),"")</f>
        <v/>
      </c>
      <c r="B19" s="112" t="str">
        <f>IF(SUM(X19:Y19)=1,1+MAX($B$1:B18),"")</f>
        <v/>
      </c>
      <c r="C19" s="112" t="str">
        <f>IF(SUM(Q19:R19,X19:Y19)=2,1+MAX($C$1:C18),"")</f>
        <v/>
      </c>
      <c r="D19" s="113">
        <v>41816</v>
      </c>
      <c r="E19" s="112">
        <v>2014</v>
      </c>
      <c r="F19" s="112" t="s">
        <v>2652</v>
      </c>
      <c r="G19" s="112" t="s">
        <v>2653</v>
      </c>
      <c r="H19" s="114" t="s">
        <v>2554</v>
      </c>
      <c r="I19" s="112">
        <f t="shared" si="0"/>
        <v>1</v>
      </c>
      <c r="J19" s="112">
        <f t="shared" si="1"/>
        <v>0</v>
      </c>
      <c r="K19" s="115" t="s">
        <v>2543</v>
      </c>
      <c r="L19" s="115" t="s">
        <v>2632</v>
      </c>
      <c r="M19" s="115" t="s">
        <v>2644</v>
      </c>
      <c r="N19" s="115">
        <v>61397</v>
      </c>
      <c r="O19" s="112">
        <v>1</v>
      </c>
      <c r="P19" s="116" t="s">
        <v>2622</v>
      </c>
      <c r="Q19" s="112" t="str">
        <f t="shared" si="2"/>
        <v/>
      </c>
      <c r="R19" s="112" t="str">
        <f t="shared" si="3"/>
        <v/>
      </c>
      <c r="S19" s="112" t="str">
        <f t="shared" si="6"/>
        <v/>
      </c>
      <c r="T19" s="112" t="str">
        <f t="shared" si="7"/>
        <v/>
      </c>
      <c r="U19" s="112" t="str">
        <f t="shared" si="8"/>
        <v/>
      </c>
      <c r="V19" s="112" t="str">
        <f t="shared" si="9"/>
        <v/>
      </c>
      <c r="W19" s="112" t="str">
        <f t="shared" si="10"/>
        <v/>
      </c>
      <c r="X19" s="112" t="str">
        <f t="shared" si="4"/>
        <v/>
      </c>
      <c r="Y19" s="112" t="str">
        <f t="shared" si="5"/>
        <v/>
      </c>
      <c r="Z19" s="112" t="str">
        <f t="shared" si="11"/>
        <v/>
      </c>
      <c r="AA19" s="112" t="str">
        <f t="shared" si="12"/>
        <v/>
      </c>
      <c r="AB19" s="112" t="str">
        <f t="shared" si="13"/>
        <v/>
      </c>
      <c r="AC19" s="112" t="str">
        <f t="shared" si="14"/>
        <v/>
      </c>
      <c r="AD19" s="112" t="str">
        <f t="shared" si="15"/>
        <v/>
      </c>
      <c r="AG19" s="117" t="s">
        <v>2553</v>
      </c>
    </row>
    <row r="20" spans="1:33" x14ac:dyDescent="0.2">
      <c r="A20" s="112" t="str">
        <f>IF(SUM(Q20:R20)=1,1+MAX($A$1:A19),"")</f>
        <v/>
      </c>
      <c r="B20" s="112" t="str">
        <f>IF(SUM(X20:Y20)=1,1+MAX($B$1:B19),"")</f>
        <v/>
      </c>
      <c r="C20" s="112" t="str">
        <f>IF(SUM(Q20:R20,X20:Y20)=2,1+MAX($C$1:C19),"")</f>
        <v/>
      </c>
      <c r="D20" s="113">
        <v>41816</v>
      </c>
      <c r="E20" s="112">
        <v>2014</v>
      </c>
      <c r="F20" s="112" t="s">
        <v>2656</v>
      </c>
      <c r="G20" s="112" t="s">
        <v>2657</v>
      </c>
      <c r="H20" s="114" t="s">
        <v>2658</v>
      </c>
      <c r="I20" s="112">
        <f t="shared" si="0"/>
        <v>1</v>
      </c>
      <c r="J20" s="112">
        <f t="shared" si="1"/>
        <v>2</v>
      </c>
      <c r="K20" s="115" t="s">
        <v>2556</v>
      </c>
      <c r="L20" s="115" t="s">
        <v>2605</v>
      </c>
      <c r="M20" s="115" t="s">
        <v>2659</v>
      </c>
      <c r="N20" s="115">
        <v>67540</v>
      </c>
      <c r="O20" s="112">
        <v>1</v>
      </c>
      <c r="P20" s="116" t="s">
        <v>2638</v>
      </c>
      <c r="Q20" s="112" t="str">
        <f t="shared" si="2"/>
        <v/>
      </c>
      <c r="R20" s="112" t="str">
        <f t="shared" si="3"/>
        <v/>
      </c>
      <c r="S20" s="112" t="str">
        <f t="shared" si="6"/>
        <v/>
      </c>
      <c r="T20" s="112" t="str">
        <f t="shared" si="7"/>
        <v/>
      </c>
      <c r="U20" s="112" t="str">
        <f t="shared" si="8"/>
        <v/>
      </c>
      <c r="V20" s="112" t="str">
        <f t="shared" si="9"/>
        <v/>
      </c>
      <c r="W20" s="112" t="str">
        <f t="shared" si="10"/>
        <v/>
      </c>
      <c r="X20" s="112" t="str">
        <f t="shared" si="4"/>
        <v/>
      </c>
      <c r="Y20" s="112" t="str">
        <f t="shared" si="5"/>
        <v/>
      </c>
      <c r="Z20" s="112" t="str">
        <f t="shared" si="11"/>
        <v/>
      </c>
      <c r="AA20" s="112" t="str">
        <f t="shared" si="12"/>
        <v/>
      </c>
      <c r="AB20" s="112" t="str">
        <f t="shared" si="13"/>
        <v/>
      </c>
      <c r="AC20" s="112" t="str">
        <f t="shared" si="14"/>
        <v/>
      </c>
      <c r="AD20" s="112" t="str">
        <f t="shared" si="15"/>
        <v/>
      </c>
      <c r="AG20" s="117" t="s">
        <v>2541</v>
      </c>
    </row>
    <row r="21" spans="1:33" x14ac:dyDescent="0.2">
      <c r="A21" s="112" t="str">
        <f>IF(SUM(Q21:R21)=1,1+MAX($A$1:A20),"")</f>
        <v/>
      </c>
      <c r="B21" s="112" t="str">
        <f>IF(SUM(X21:Y21)=1,1+MAX($B$1:B20),"")</f>
        <v/>
      </c>
      <c r="C21" s="112" t="str">
        <f>IF(SUM(Q21:R21,X21:Y21)=2,1+MAX($C$1:C20),"")</f>
        <v/>
      </c>
      <c r="D21" s="113">
        <v>41816</v>
      </c>
      <c r="E21" s="112">
        <v>2014</v>
      </c>
      <c r="F21" s="112" t="s">
        <v>2656</v>
      </c>
      <c r="G21" s="112" t="s">
        <v>2657</v>
      </c>
      <c r="H21" s="114" t="s">
        <v>2547</v>
      </c>
      <c r="I21" s="112">
        <f t="shared" si="0"/>
        <v>1</v>
      </c>
      <c r="J21" s="112">
        <f t="shared" si="1"/>
        <v>0</v>
      </c>
      <c r="K21" s="115" t="s">
        <v>2614</v>
      </c>
      <c r="L21" s="115" t="s">
        <v>2660</v>
      </c>
      <c r="M21" s="115" t="s">
        <v>2621</v>
      </c>
      <c r="N21" s="115">
        <v>41876</v>
      </c>
      <c r="O21" s="112">
        <v>1</v>
      </c>
      <c r="P21" s="116" t="s">
        <v>2622</v>
      </c>
      <c r="Q21" s="112" t="str">
        <f t="shared" si="2"/>
        <v/>
      </c>
      <c r="R21" s="112" t="str">
        <f t="shared" si="3"/>
        <v/>
      </c>
      <c r="S21" s="112" t="str">
        <f t="shared" si="6"/>
        <v/>
      </c>
      <c r="T21" s="112" t="str">
        <f t="shared" si="7"/>
        <v/>
      </c>
      <c r="U21" s="112" t="str">
        <f t="shared" si="8"/>
        <v/>
      </c>
      <c r="V21" s="112" t="str">
        <f t="shared" si="9"/>
        <v/>
      </c>
      <c r="W21" s="112" t="str">
        <f t="shared" si="10"/>
        <v/>
      </c>
      <c r="X21" s="112" t="str">
        <f t="shared" si="4"/>
        <v/>
      </c>
      <c r="Y21" s="112" t="str">
        <f t="shared" si="5"/>
        <v/>
      </c>
      <c r="Z21" s="112" t="str">
        <f t="shared" si="11"/>
        <v/>
      </c>
      <c r="AA21" s="112" t="str">
        <f t="shared" si="12"/>
        <v/>
      </c>
      <c r="AB21" s="112" t="str">
        <f t="shared" si="13"/>
        <v/>
      </c>
      <c r="AC21" s="112" t="str">
        <f t="shared" si="14"/>
        <v/>
      </c>
      <c r="AD21" s="112" t="str">
        <f t="shared" si="15"/>
        <v/>
      </c>
      <c r="AG21" s="117" t="s">
        <v>2658</v>
      </c>
    </row>
    <row r="22" spans="1:33" x14ac:dyDescent="0.2">
      <c r="A22" s="112" t="str">
        <f>IF(SUM(Q22:R22)=1,1+MAX($A$1:A21),"")</f>
        <v/>
      </c>
      <c r="B22" s="112" t="str">
        <f>IF(SUM(X22:Y22)=1,1+MAX($B$1:B21),"")</f>
        <v/>
      </c>
      <c r="C22" s="112" t="str">
        <f>IF(SUM(Q22:R22,X22:Y22)=2,1+MAX($C$1:C21),"")</f>
        <v/>
      </c>
      <c r="D22" s="113">
        <v>41815</v>
      </c>
      <c r="E22" s="112">
        <v>2014</v>
      </c>
      <c r="F22" s="112" t="s">
        <v>2661</v>
      </c>
      <c r="G22" s="112" t="s">
        <v>2662</v>
      </c>
      <c r="H22" s="114" t="s">
        <v>2639</v>
      </c>
      <c r="I22" s="112">
        <f t="shared" si="0"/>
        <v>3</v>
      </c>
      <c r="J22" s="112">
        <f t="shared" si="1"/>
        <v>1</v>
      </c>
      <c r="K22" s="115" t="s">
        <v>2553</v>
      </c>
      <c r="L22" s="115" t="s">
        <v>2620</v>
      </c>
      <c r="M22" s="115" t="s">
        <v>2625</v>
      </c>
      <c r="N22" s="115">
        <v>48011</v>
      </c>
      <c r="O22" s="112">
        <v>1</v>
      </c>
      <c r="P22" s="116" t="s">
        <v>2663</v>
      </c>
      <c r="Q22" s="112" t="str">
        <f t="shared" si="2"/>
        <v/>
      </c>
      <c r="R22" s="112" t="str">
        <f t="shared" si="3"/>
        <v/>
      </c>
      <c r="S22" s="112" t="str">
        <f t="shared" si="6"/>
        <v/>
      </c>
      <c r="T22" s="112" t="str">
        <f t="shared" si="7"/>
        <v/>
      </c>
      <c r="U22" s="112" t="str">
        <f t="shared" si="8"/>
        <v/>
      </c>
      <c r="V22" s="112" t="str">
        <f t="shared" si="9"/>
        <v/>
      </c>
      <c r="W22" s="112" t="str">
        <f t="shared" si="10"/>
        <v/>
      </c>
      <c r="X22" s="112" t="str">
        <f t="shared" si="4"/>
        <v/>
      </c>
      <c r="Y22" s="112" t="str">
        <f t="shared" si="5"/>
        <v/>
      </c>
      <c r="Z22" s="112" t="str">
        <f t="shared" si="11"/>
        <v/>
      </c>
      <c r="AA22" s="112" t="str">
        <f t="shared" si="12"/>
        <v/>
      </c>
      <c r="AB22" s="112" t="str">
        <f t="shared" si="13"/>
        <v/>
      </c>
      <c r="AC22" s="112" t="str">
        <f t="shared" si="14"/>
        <v/>
      </c>
      <c r="AD22" s="112" t="str">
        <f t="shared" si="15"/>
        <v/>
      </c>
      <c r="AG22" s="117" t="s">
        <v>2547</v>
      </c>
    </row>
    <row r="23" spans="1:33" x14ac:dyDescent="0.2">
      <c r="A23" s="112" t="str">
        <f>IF(SUM(Q23:R23)=1,1+MAX($A$1:A22),"")</f>
        <v/>
      </c>
      <c r="B23" s="112">
        <f>IF(SUM(X23:Y23)=1,1+MAX($B$1:B22),"")</f>
        <v>5</v>
      </c>
      <c r="C23" s="112" t="str">
        <f>IF(SUM(Q23:R23,X23:Y23)=2,1+MAX($C$1:C22),"")</f>
        <v/>
      </c>
      <c r="D23" s="113">
        <v>41815</v>
      </c>
      <c r="E23" s="112">
        <v>2014</v>
      </c>
      <c r="F23" s="112" t="s">
        <v>2661</v>
      </c>
      <c r="G23" s="112" t="s">
        <v>2662</v>
      </c>
      <c r="H23" s="114" t="s">
        <v>1134</v>
      </c>
      <c r="I23" s="112">
        <f t="shared" si="0"/>
        <v>3</v>
      </c>
      <c r="J23" s="112">
        <f t="shared" si="1"/>
        <v>2</v>
      </c>
      <c r="K23" s="115" t="s">
        <v>2542</v>
      </c>
      <c r="L23" s="115" t="s">
        <v>2636</v>
      </c>
      <c r="M23" s="115" t="s">
        <v>2600</v>
      </c>
      <c r="N23" s="115">
        <v>43285</v>
      </c>
      <c r="O23" s="112">
        <v>1</v>
      </c>
      <c r="P23" s="116" t="s">
        <v>2664</v>
      </c>
      <c r="Q23" s="112" t="str">
        <f t="shared" si="2"/>
        <v/>
      </c>
      <c r="R23" s="112" t="str">
        <f t="shared" si="3"/>
        <v/>
      </c>
      <c r="S23" s="112" t="str">
        <f t="shared" si="6"/>
        <v/>
      </c>
      <c r="T23" s="112" t="str">
        <f t="shared" si="7"/>
        <v/>
      </c>
      <c r="U23" s="112" t="str">
        <f t="shared" si="8"/>
        <v/>
      </c>
      <c r="V23" s="112" t="str">
        <f t="shared" si="9"/>
        <v/>
      </c>
      <c r="W23" s="112" t="str">
        <f t="shared" si="10"/>
        <v/>
      </c>
      <c r="X23" s="112">
        <f t="shared" si="4"/>
        <v>1</v>
      </c>
      <c r="Y23" s="112" t="str">
        <f t="shared" si="5"/>
        <v/>
      </c>
      <c r="Z23" s="112">
        <f t="shared" si="11"/>
        <v>1</v>
      </c>
      <c r="AA23" s="112">
        <f t="shared" si="12"/>
        <v>0</v>
      </c>
      <c r="AB23" s="112">
        <f t="shared" si="13"/>
        <v>0</v>
      </c>
      <c r="AC23" s="112">
        <f t="shared" si="14"/>
        <v>5</v>
      </c>
      <c r="AD23" s="112">
        <f t="shared" si="15"/>
        <v>1</v>
      </c>
      <c r="AG23" s="117" t="s">
        <v>2665</v>
      </c>
    </row>
    <row r="24" spans="1:33" x14ac:dyDescent="0.2">
      <c r="A24" s="112" t="str">
        <f>IF(SUM(Q24:R24)=1,1+MAX($A$1:A23),"")</f>
        <v/>
      </c>
      <c r="B24" s="112" t="str">
        <f>IF(SUM(X24:Y24)=1,1+MAX($B$1:B23),"")</f>
        <v/>
      </c>
      <c r="C24" s="112" t="str">
        <f>IF(SUM(Q24:R24,X24:Y24)=2,1+MAX($C$1:C23),"")</f>
        <v/>
      </c>
      <c r="D24" s="113">
        <v>41815</v>
      </c>
      <c r="E24" s="112">
        <v>2014</v>
      </c>
      <c r="F24" s="112" t="s">
        <v>2666</v>
      </c>
      <c r="G24" s="112" t="s">
        <v>2667</v>
      </c>
      <c r="H24" s="114" t="s">
        <v>2655</v>
      </c>
      <c r="I24" s="112">
        <f t="shared" si="0"/>
        <v>0</v>
      </c>
      <c r="J24" s="112">
        <f t="shared" si="1"/>
        <v>0</v>
      </c>
      <c r="K24" s="115" t="s">
        <v>2541</v>
      </c>
      <c r="L24" s="115" t="s">
        <v>2599</v>
      </c>
      <c r="M24" s="115" t="s">
        <v>2668</v>
      </c>
      <c r="N24" s="115">
        <v>73749</v>
      </c>
      <c r="O24" s="112">
        <v>1</v>
      </c>
      <c r="P24" s="116" t="s">
        <v>2613</v>
      </c>
      <c r="Q24" s="112" t="str">
        <f t="shared" si="2"/>
        <v/>
      </c>
      <c r="R24" s="112" t="str">
        <f t="shared" si="3"/>
        <v/>
      </c>
      <c r="S24" s="112" t="str">
        <f t="shared" si="6"/>
        <v/>
      </c>
      <c r="T24" s="112" t="str">
        <f t="shared" si="7"/>
        <v/>
      </c>
      <c r="U24" s="112" t="str">
        <f t="shared" si="8"/>
        <v/>
      </c>
      <c r="V24" s="112" t="str">
        <f t="shared" si="9"/>
        <v/>
      </c>
      <c r="W24" s="112" t="str">
        <f t="shared" si="10"/>
        <v/>
      </c>
      <c r="X24" s="112" t="str">
        <f t="shared" si="4"/>
        <v/>
      </c>
      <c r="Y24" s="112" t="str">
        <f t="shared" si="5"/>
        <v/>
      </c>
      <c r="Z24" s="112" t="str">
        <f t="shared" si="11"/>
        <v/>
      </c>
      <c r="AA24" s="112" t="str">
        <f t="shared" si="12"/>
        <v/>
      </c>
      <c r="AB24" s="112" t="str">
        <f t="shared" si="13"/>
        <v/>
      </c>
      <c r="AC24" s="112" t="str">
        <f t="shared" si="14"/>
        <v/>
      </c>
      <c r="AD24" s="112" t="str">
        <f t="shared" si="15"/>
        <v/>
      </c>
      <c r="AG24" s="117" t="s">
        <v>2642</v>
      </c>
    </row>
    <row r="25" spans="1:33" x14ac:dyDescent="0.2">
      <c r="A25" s="112" t="str">
        <f>IF(SUM(Q25:R25)=1,1+MAX($A$1:A24),"")</f>
        <v/>
      </c>
      <c r="B25" s="112" t="str">
        <f>IF(SUM(X25:Y25)=1,1+MAX($B$1:B24),"")</f>
        <v/>
      </c>
      <c r="C25" s="112" t="str">
        <f>IF(SUM(Q25:R25,X25:Y25)=2,1+MAX($C$1:C24),"")</f>
        <v/>
      </c>
      <c r="D25" s="113">
        <v>41815</v>
      </c>
      <c r="E25" s="112">
        <v>2014</v>
      </c>
      <c r="F25" s="112" t="s">
        <v>2666</v>
      </c>
      <c r="G25" s="112" t="s">
        <v>2667</v>
      </c>
      <c r="H25" s="114" t="s">
        <v>2669</v>
      </c>
      <c r="I25" s="112">
        <f t="shared" si="0"/>
        <v>0</v>
      </c>
      <c r="J25" s="112">
        <f t="shared" si="1"/>
        <v>3</v>
      </c>
      <c r="K25" s="115" t="s">
        <v>2558</v>
      </c>
      <c r="L25" s="115" t="s">
        <v>2670</v>
      </c>
      <c r="M25" s="115" t="s">
        <v>2628</v>
      </c>
      <c r="N25" s="115">
        <v>40322</v>
      </c>
      <c r="O25" s="112">
        <v>1</v>
      </c>
      <c r="P25" s="116" t="s">
        <v>2607</v>
      </c>
      <c r="Q25" s="112" t="str">
        <f t="shared" si="2"/>
        <v/>
      </c>
      <c r="R25" s="112" t="str">
        <f t="shared" si="3"/>
        <v/>
      </c>
      <c r="S25" s="112" t="str">
        <f t="shared" si="6"/>
        <v/>
      </c>
      <c r="T25" s="112" t="str">
        <f t="shared" si="7"/>
        <v/>
      </c>
      <c r="U25" s="112" t="str">
        <f t="shared" si="8"/>
        <v/>
      </c>
      <c r="V25" s="112" t="str">
        <f t="shared" si="9"/>
        <v/>
      </c>
      <c r="W25" s="112" t="str">
        <f t="shared" si="10"/>
        <v/>
      </c>
      <c r="X25" s="112" t="str">
        <f t="shared" si="4"/>
        <v/>
      </c>
      <c r="Y25" s="112" t="str">
        <f t="shared" si="5"/>
        <v/>
      </c>
      <c r="Z25" s="112" t="str">
        <f t="shared" si="11"/>
        <v/>
      </c>
      <c r="AA25" s="112" t="str">
        <f t="shared" si="12"/>
        <v/>
      </c>
      <c r="AB25" s="112" t="str">
        <f t="shared" si="13"/>
        <v/>
      </c>
      <c r="AC25" s="112" t="str">
        <f t="shared" si="14"/>
        <v/>
      </c>
      <c r="AD25" s="112" t="str">
        <f t="shared" si="15"/>
        <v/>
      </c>
      <c r="AG25" s="117" t="s">
        <v>2671</v>
      </c>
    </row>
    <row r="26" spans="1:33" x14ac:dyDescent="0.2">
      <c r="A26" s="112">
        <f>IF(SUM(Q26:R26)=1,1+MAX($A$1:A25),"")</f>
        <v>1</v>
      </c>
      <c r="B26" s="112" t="str">
        <f>IF(SUM(X26:Y26)=1,1+MAX($B$1:B25),"")</f>
        <v/>
      </c>
      <c r="C26" s="112" t="str">
        <f>IF(SUM(Q26:R26,X26:Y26)=2,1+MAX($C$1:C25),"")</f>
        <v/>
      </c>
      <c r="D26" s="113">
        <v>41814</v>
      </c>
      <c r="E26" s="112">
        <v>2014</v>
      </c>
      <c r="F26" s="112" t="s">
        <v>2672</v>
      </c>
      <c r="G26" s="112" t="s">
        <v>2673</v>
      </c>
      <c r="H26" s="114" t="s">
        <v>2550</v>
      </c>
      <c r="I26" s="112">
        <f t="shared" si="0"/>
        <v>0</v>
      </c>
      <c r="J26" s="112">
        <f t="shared" si="1"/>
        <v>0</v>
      </c>
      <c r="K26" s="115" t="s">
        <v>2545</v>
      </c>
      <c r="L26" s="115" t="s">
        <v>2615</v>
      </c>
      <c r="M26" s="115" t="s">
        <v>2606</v>
      </c>
      <c r="N26" s="115">
        <v>57823</v>
      </c>
      <c r="O26" s="112">
        <v>1</v>
      </c>
      <c r="P26" s="116" t="s">
        <v>2613</v>
      </c>
      <c r="Q26" s="112" t="str">
        <f t="shared" si="2"/>
        <v/>
      </c>
      <c r="R26" s="112">
        <f t="shared" si="3"/>
        <v>1</v>
      </c>
      <c r="S26" s="112">
        <f t="shared" si="6"/>
        <v>0</v>
      </c>
      <c r="T26" s="112">
        <f t="shared" si="7"/>
        <v>1</v>
      </c>
      <c r="U26" s="112">
        <f t="shared" si="8"/>
        <v>0</v>
      </c>
      <c r="V26" s="112">
        <f t="shared" si="9"/>
        <v>0</v>
      </c>
      <c r="W26" s="112">
        <f t="shared" si="10"/>
        <v>0</v>
      </c>
      <c r="X26" s="112" t="str">
        <f t="shared" si="4"/>
        <v/>
      </c>
      <c r="Y26" s="112" t="str">
        <f t="shared" si="5"/>
        <v/>
      </c>
      <c r="Z26" s="112" t="str">
        <f t="shared" si="11"/>
        <v/>
      </c>
      <c r="AA26" s="112" t="str">
        <f t="shared" si="12"/>
        <v/>
      </c>
      <c r="AB26" s="112" t="str">
        <f t="shared" si="13"/>
        <v/>
      </c>
      <c r="AC26" s="112" t="str">
        <f t="shared" si="14"/>
        <v/>
      </c>
      <c r="AD26" s="112" t="str">
        <f t="shared" si="15"/>
        <v/>
      </c>
      <c r="AG26" s="117" t="s">
        <v>2669</v>
      </c>
    </row>
    <row r="27" spans="1:33" x14ac:dyDescent="0.2">
      <c r="A27" s="112" t="str">
        <f>IF(SUM(Q27:R27)=1,1+MAX($A$1:A26),"")</f>
        <v/>
      </c>
      <c r="B27" s="112" t="str">
        <f>IF(SUM(X27:Y27)=1,1+MAX($B$1:B26),"")</f>
        <v/>
      </c>
      <c r="C27" s="112" t="str">
        <f>IF(SUM(Q27:R27,X27:Y27)=2,1+MAX($C$1:C26),"")</f>
        <v/>
      </c>
      <c r="D27" s="113">
        <v>41814</v>
      </c>
      <c r="E27" s="112">
        <v>2014</v>
      </c>
      <c r="F27" s="112" t="s">
        <v>2672</v>
      </c>
      <c r="G27" s="112" t="s">
        <v>2673</v>
      </c>
      <c r="H27" s="114" t="s">
        <v>2674</v>
      </c>
      <c r="I27" s="112">
        <f t="shared" si="0"/>
        <v>0</v>
      </c>
      <c r="J27" s="112">
        <f t="shared" si="1"/>
        <v>1</v>
      </c>
      <c r="K27" s="115" t="s">
        <v>2540</v>
      </c>
      <c r="L27" s="115" t="s">
        <v>2675</v>
      </c>
      <c r="M27" s="115" t="s">
        <v>2616</v>
      </c>
      <c r="N27" s="115">
        <v>39706</v>
      </c>
      <c r="O27" s="112">
        <v>1</v>
      </c>
      <c r="P27" s="116" t="s">
        <v>2601</v>
      </c>
      <c r="Q27" s="112" t="str">
        <f t="shared" si="2"/>
        <v/>
      </c>
      <c r="R27" s="112" t="str">
        <f t="shared" si="3"/>
        <v/>
      </c>
      <c r="S27" s="112" t="str">
        <f t="shared" si="6"/>
        <v/>
      </c>
      <c r="T27" s="112" t="str">
        <f t="shared" si="7"/>
        <v/>
      </c>
      <c r="U27" s="112" t="str">
        <f t="shared" si="8"/>
        <v/>
      </c>
      <c r="V27" s="112" t="str">
        <f t="shared" si="9"/>
        <v/>
      </c>
      <c r="W27" s="112" t="str">
        <f t="shared" si="10"/>
        <v/>
      </c>
      <c r="X27" s="112" t="str">
        <f t="shared" si="4"/>
        <v/>
      </c>
      <c r="Y27" s="112" t="str">
        <f t="shared" si="5"/>
        <v/>
      </c>
      <c r="Z27" s="112" t="str">
        <f t="shared" si="11"/>
        <v/>
      </c>
      <c r="AA27" s="112" t="str">
        <f t="shared" si="12"/>
        <v/>
      </c>
      <c r="AB27" s="112" t="str">
        <f t="shared" si="13"/>
        <v/>
      </c>
      <c r="AC27" s="112" t="str">
        <f t="shared" si="14"/>
        <v/>
      </c>
      <c r="AD27" s="112" t="str">
        <f t="shared" si="15"/>
        <v/>
      </c>
      <c r="AG27" s="117" t="s">
        <v>2676</v>
      </c>
    </row>
    <row r="28" spans="1:33" x14ac:dyDescent="0.2">
      <c r="A28" s="112" t="str">
        <f>IF(SUM(Q28:R28)=1,1+MAX($A$1:A27),"")</f>
        <v/>
      </c>
      <c r="B28" s="112" t="str">
        <f>IF(SUM(X28:Y28)=1,1+MAX($B$1:B27),"")</f>
        <v/>
      </c>
      <c r="C28" s="112" t="str">
        <f>IF(SUM(Q28:R28,X28:Y28)=2,1+MAX($C$1:C27),"")</f>
        <v/>
      </c>
      <c r="D28" s="113">
        <v>41814</v>
      </c>
      <c r="E28" s="112">
        <v>2014</v>
      </c>
      <c r="F28" s="112" t="s">
        <v>2677</v>
      </c>
      <c r="G28" s="112" t="s">
        <v>2678</v>
      </c>
      <c r="H28" s="114" t="s">
        <v>2679</v>
      </c>
      <c r="I28" s="112">
        <f t="shared" si="0"/>
        <v>1</v>
      </c>
      <c r="J28" s="112">
        <f t="shared" si="1"/>
        <v>2</v>
      </c>
      <c r="K28" s="115" t="s">
        <v>2642</v>
      </c>
      <c r="L28" s="115" t="s">
        <v>2624</v>
      </c>
      <c r="M28" s="115" t="s">
        <v>2680</v>
      </c>
      <c r="N28" s="115">
        <v>59095</v>
      </c>
      <c r="O28" s="112">
        <v>1</v>
      </c>
      <c r="P28" s="116" t="s">
        <v>2638</v>
      </c>
      <c r="Q28" s="112" t="str">
        <f t="shared" si="2"/>
        <v/>
      </c>
      <c r="R28" s="112" t="str">
        <f t="shared" si="3"/>
        <v/>
      </c>
      <c r="S28" s="112" t="str">
        <f t="shared" si="6"/>
        <v/>
      </c>
      <c r="T28" s="112" t="str">
        <f t="shared" si="7"/>
        <v/>
      </c>
      <c r="U28" s="112" t="str">
        <f t="shared" si="8"/>
        <v/>
      </c>
      <c r="V28" s="112" t="str">
        <f t="shared" si="9"/>
        <v/>
      </c>
      <c r="W28" s="112" t="str">
        <f t="shared" si="10"/>
        <v/>
      </c>
      <c r="X28" s="112" t="str">
        <f t="shared" si="4"/>
        <v/>
      </c>
      <c r="Y28" s="112" t="str">
        <f t="shared" si="5"/>
        <v/>
      </c>
      <c r="Z28" s="112" t="str">
        <f t="shared" si="11"/>
        <v/>
      </c>
      <c r="AA28" s="112" t="str">
        <f t="shared" si="12"/>
        <v/>
      </c>
      <c r="AB28" s="112" t="str">
        <f t="shared" si="13"/>
        <v/>
      </c>
      <c r="AC28" s="112" t="str">
        <f t="shared" si="14"/>
        <v/>
      </c>
      <c r="AD28" s="112" t="str">
        <f t="shared" si="15"/>
        <v/>
      </c>
      <c r="AG28" s="117" t="s">
        <v>2681</v>
      </c>
    </row>
    <row r="29" spans="1:33" x14ac:dyDescent="0.2">
      <c r="A29" s="112" t="str">
        <f>IF(SUM(Q29:R29)=1,1+MAX($A$1:A28),"")</f>
        <v/>
      </c>
      <c r="B29" s="112" t="str">
        <f>IF(SUM(X29:Y29)=1,1+MAX($B$1:B28),"")</f>
        <v/>
      </c>
      <c r="C29" s="112" t="str">
        <f>IF(SUM(Q29:R29,X29:Y29)=2,1+MAX($C$1:C28),"")</f>
        <v/>
      </c>
      <c r="D29" s="113">
        <v>41814</v>
      </c>
      <c r="E29" s="112">
        <v>2014</v>
      </c>
      <c r="F29" s="112" t="s">
        <v>2677</v>
      </c>
      <c r="G29" s="112" t="s">
        <v>2678</v>
      </c>
      <c r="H29" s="114" t="s">
        <v>1347</v>
      </c>
      <c r="I29" s="112">
        <f t="shared" si="0"/>
        <v>4</v>
      </c>
      <c r="J29" s="112">
        <f t="shared" si="1"/>
        <v>1</v>
      </c>
      <c r="K29" s="115" t="s">
        <v>1395</v>
      </c>
      <c r="L29" s="115" t="s">
        <v>2682</v>
      </c>
      <c r="M29" s="115" t="s">
        <v>2647</v>
      </c>
      <c r="N29" s="115">
        <v>40340</v>
      </c>
      <c r="O29" s="112">
        <v>1</v>
      </c>
      <c r="P29" s="116" t="s">
        <v>2683</v>
      </c>
      <c r="Q29" s="112" t="str">
        <f t="shared" si="2"/>
        <v/>
      </c>
      <c r="R29" s="112" t="str">
        <f t="shared" si="3"/>
        <v/>
      </c>
      <c r="S29" s="112" t="str">
        <f t="shared" si="6"/>
        <v/>
      </c>
      <c r="T29" s="112" t="str">
        <f t="shared" si="7"/>
        <v/>
      </c>
      <c r="U29" s="112" t="str">
        <f t="shared" si="8"/>
        <v/>
      </c>
      <c r="V29" s="112" t="str">
        <f t="shared" si="9"/>
        <v/>
      </c>
      <c r="W29" s="112" t="str">
        <f t="shared" si="10"/>
        <v/>
      </c>
      <c r="X29" s="112" t="str">
        <f t="shared" si="4"/>
        <v/>
      </c>
      <c r="Y29" s="112" t="str">
        <f t="shared" si="5"/>
        <v/>
      </c>
      <c r="Z29" s="112" t="str">
        <f t="shared" si="11"/>
        <v/>
      </c>
      <c r="AA29" s="112" t="str">
        <f t="shared" si="12"/>
        <v/>
      </c>
      <c r="AB29" s="112" t="str">
        <f t="shared" si="13"/>
        <v/>
      </c>
      <c r="AC29" s="112" t="str">
        <f t="shared" si="14"/>
        <v/>
      </c>
      <c r="AD29" s="112" t="str">
        <f t="shared" si="15"/>
        <v/>
      </c>
      <c r="AG29" s="117" t="s">
        <v>2557</v>
      </c>
    </row>
    <row r="30" spans="1:33" x14ac:dyDescent="0.2">
      <c r="A30" s="112" t="str">
        <f>IF(SUM(Q30:R30)=1,1+MAX($A$1:A29),"")</f>
        <v/>
      </c>
      <c r="B30" s="112" t="str">
        <f>IF(SUM(X30:Y30)=1,1+MAX($B$1:B29),"")</f>
        <v/>
      </c>
      <c r="C30" s="112" t="str">
        <f>IF(SUM(Q30:R30,X30:Y30)=2,1+MAX($C$1:C29),"")</f>
        <v/>
      </c>
      <c r="D30" s="113">
        <v>41813</v>
      </c>
      <c r="E30" s="112">
        <v>2014</v>
      </c>
      <c r="F30" s="112" t="s">
        <v>2684</v>
      </c>
      <c r="G30" s="112" t="s">
        <v>2685</v>
      </c>
      <c r="H30" s="114" t="s">
        <v>2650</v>
      </c>
      <c r="I30" s="112">
        <f t="shared" si="0"/>
        <v>0</v>
      </c>
      <c r="J30" s="112">
        <f t="shared" si="1"/>
        <v>2</v>
      </c>
      <c r="K30" s="115" t="s">
        <v>2604</v>
      </c>
      <c r="L30" s="115" t="s">
        <v>2632</v>
      </c>
      <c r="M30" s="115" t="s">
        <v>2686</v>
      </c>
      <c r="N30" s="115">
        <v>62996</v>
      </c>
      <c r="O30" s="112">
        <v>1</v>
      </c>
      <c r="P30" s="116" t="s">
        <v>2687</v>
      </c>
      <c r="Q30" s="112" t="str">
        <f t="shared" si="2"/>
        <v/>
      </c>
      <c r="R30" s="112" t="str">
        <f t="shared" si="3"/>
        <v/>
      </c>
      <c r="S30" s="112" t="str">
        <f t="shared" si="6"/>
        <v/>
      </c>
      <c r="T30" s="112" t="str">
        <f t="shared" si="7"/>
        <v/>
      </c>
      <c r="U30" s="112" t="str">
        <f t="shared" si="8"/>
        <v/>
      </c>
      <c r="V30" s="112" t="str">
        <f t="shared" si="9"/>
        <v/>
      </c>
      <c r="W30" s="112" t="str">
        <f t="shared" si="10"/>
        <v/>
      </c>
      <c r="X30" s="112" t="str">
        <f t="shared" si="4"/>
        <v/>
      </c>
      <c r="Y30" s="112" t="str">
        <f t="shared" si="5"/>
        <v/>
      </c>
      <c r="Z30" s="112" t="str">
        <f t="shared" si="11"/>
        <v/>
      </c>
      <c r="AA30" s="112" t="str">
        <f t="shared" si="12"/>
        <v/>
      </c>
      <c r="AB30" s="112" t="str">
        <f t="shared" si="13"/>
        <v/>
      </c>
      <c r="AC30" s="112" t="str">
        <f t="shared" si="14"/>
        <v/>
      </c>
      <c r="AD30" s="112" t="str">
        <f t="shared" si="15"/>
        <v/>
      </c>
      <c r="AG30" s="117" t="s">
        <v>2688</v>
      </c>
    </row>
    <row r="31" spans="1:33" x14ac:dyDescent="0.2">
      <c r="A31" s="112" t="str">
        <f>IF(SUM(Q31:R31)=1,1+MAX($A$1:A30),"")</f>
        <v/>
      </c>
      <c r="B31" s="112" t="str">
        <f>IF(SUM(X31:Y31)=1,1+MAX($B$1:B30),"")</f>
        <v/>
      </c>
      <c r="C31" s="112" t="str">
        <f>IF(SUM(Q31:R31,X31:Y31)=2,1+MAX($C$1:C30),"")</f>
        <v/>
      </c>
      <c r="D31" s="113">
        <v>41813</v>
      </c>
      <c r="E31" s="112">
        <v>2014</v>
      </c>
      <c r="F31" s="112" t="s">
        <v>2684</v>
      </c>
      <c r="G31" s="112" t="s">
        <v>2685</v>
      </c>
      <c r="H31" s="114" t="s">
        <v>1317</v>
      </c>
      <c r="I31" s="112">
        <f t="shared" si="0"/>
        <v>0</v>
      </c>
      <c r="J31" s="112">
        <f t="shared" si="1"/>
        <v>3</v>
      </c>
      <c r="K31" s="115" t="s">
        <v>2557</v>
      </c>
      <c r="L31" s="115" t="s">
        <v>2654</v>
      </c>
      <c r="M31" s="115" t="s">
        <v>2659</v>
      </c>
      <c r="N31" s="115">
        <v>39375</v>
      </c>
      <c r="O31" s="112">
        <v>1</v>
      </c>
      <c r="P31" s="116" t="s">
        <v>2607</v>
      </c>
      <c r="Q31" s="112" t="str">
        <f t="shared" si="2"/>
        <v/>
      </c>
      <c r="R31" s="112" t="str">
        <f t="shared" si="3"/>
        <v/>
      </c>
      <c r="S31" s="112" t="str">
        <f t="shared" si="6"/>
        <v/>
      </c>
      <c r="T31" s="112" t="str">
        <f t="shared" si="7"/>
        <v/>
      </c>
      <c r="U31" s="112" t="str">
        <f t="shared" si="8"/>
        <v/>
      </c>
      <c r="V31" s="112" t="str">
        <f t="shared" si="9"/>
        <v/>
      </c>
      <c r="W31" s="112" t="str">
        <f t="shared" si="10"/>
        <v/>
      </c>
      <c r="X31" s="112" t="str">
        <f t="shared" si="4"/>
        <v/>
      </c>
      <c r="Y31" s="112" t="str">
        <f t="shared" si="5"/>
        <v/>
      </c>
      <c r="Z31" s="112" t="str">
        <f t="shared" si="11"/>
        <v/>
      </c>
      <c r="AA31" s="112" t="str">
        <f t="shared" si="12"/>
        <v/>
      </c>
      <c r="AB31" s="112" t="str">
        <f t="shared" si="13"/>
        <v/>
      </c>
      <c r="AC31" s="112" t="str">
        <f t="shared" si="14"/>
        <v/>
      </c>
      <c r="AD31" s="112" t="str">
        <f t="shared" si="15"/>
        <v/>
      </c>
      <c r="AG31" s="117" t="s">
        <v>2674</v>
      </c>
    </row>
    <row r="32" spans="1:33" x14ac:dyDescent="0.2">
      <c r="A32" s="112" t="str">
        <f>IF(SUM(Q32:R32)=1,1+MAX($A$1:A31),"")</f>
        <v/>
      </c>
      <c r="B32" s="112" t="str">
        <f>IF(SUM(X32:Y32)=1,1+MAX($B$1:B31),"")</f>
        <v/>
      </c>
      <c r="C32" s="112" t="str">
        <f>IF(SUM(Q32:R32,X32:Y32)=2,1+MAX($C$1:C31),"")</f>
        <v/>
      </c>
      <c r="D32" s="113">
        <v>41813</v>
      </c>
      <c r="E32" s="112">
        <v>2014</v>
      </c>
      <c r="F32" s="112" t="s">
        <v>2689</v>
      </c>
      <c r="G32" s="112" t="s">
        <v>2690</v>
      </c>
      <c r="H32" s="114" t="s">
        <v>1024</v>
      </c>
      <c r="I32" s="112">
        <f t="shared" si="0"/>
        <v>1</v>
      </c>
      <c r="J32" s="112">
        <f t="shared" si="1"/>
        <v>3</v>
      </c>
      <c r="K32" s="115" t="s">
        <v>1061</v>
      </c>
      <c r="L32" s="115" t="s">
        <v>2643</v>
      </c>
      <c r="M32" s="115" t="s">
        <v>2621</v>
      </c>
      <c r="N32" s="115">
        <v>41212</v>
      </c>
      <c r="O32" s="112">
        <v>1</v>
      </c>
      <c r="P32" s="116" t="s">
        <v>2691</v>
      </c>
      <c r="Q32" s="112" t="str">
        <f t="shared" si="2"/>
        <v/>
      </c>
      <c r="R32" s="112" t="str">
        <f t="shared" si="3"/>
        <v/>
      </c>
      <c r="S32" s="112" t="str">
        <f t="shared" si="6"/>
        <v/>
      </c>
      <c r="T32" s="112" t="str">
        <f t="shared" si="7"/>
        <v/>
      </c>
      <c r="U32" s="112" t="str">
        <f t="shared" si="8"/>
        <v/>
      </c>
      <c r="V32" s="112" t="str">
        <f t="shared" si="9"/>
        <v/>
      </c>
      <c r="W32" s="112" t="str">
        <f t="shared" si="10"/>
        <v/>
      </c>
      <c r="X32" s="112" t="str">
        <f t="shared" si="4"/>
        <v/>
      </c>
      <c r="Y32" s="112" t="str">
        <f t="shared" si="5"/>
        <v/>
      </c>
      <c r="Z32" s="112" t="str">
        <f t="shared" si="11"/>
        <v/>
      </c>
      <c r="AA32" s="112" t="str">
        <f t="shared" si="12"/>
        <v/>
      </c>
      <c r="AB32" s="112" t="str">
        <f t="shared" si="13"/>
        <v/>
      </c>
      <c r="AC32" s="112" t="str">
        <f t="shared" si="14"/>
        <v/>
      </c>
      <c r="AD32" s="112" t="str">
        <f t="shared" si="15"/>
        <v/>
      </c>
      <c r="AG32" s="117" t="s">
        <v>2692</v>
      </c>
    </row>
    <row r="33" spans="1:33" x14ac:dyDescent="0.2">
      <c r="A33" s="112" t="str">
        <f>IF(SUM(Q33:R33)=1,1+MAX($A$1:A32),"")</f>
        <v/>
      </c>
      <c r="B33" s="112" t="str">
        <f>IF(SUM(X33:Y33)=1,1+MAX($B$1:B32),"")</f>
        <v/>
      </c>
      <c r="C33" s="112" t="str">
        <f>IF(SUM(Q33:R33,X33:Y33)=2,1+MAX($C$1:C32),"")</f>
        <v/>
      </c>
      <c r="D33" s="113">
        <v>41813</v>
      </c>
      <c r="E33" s="112">
        <v>2014</v>
      </c>
      <c r="F33" s="112" t="s">
        <v>2689</v>
      </c>
      <c r="G33" s="112" t="s">
        <v>2690</v>
      </c>
      <c r="H33" s="114" t="s">
        <v>1442</v>
      </c>
      <c r="I33" s="112">
        <f t="shared" si="0"/>
        <v>4</v>
      </c>
      <c r="J33" s="112">
        <f t="shared" si="1"/>
        <v>1</v>
      </c>
      <c r="K33" s="115" t="s">
        <v>2693</v>
      </c>
      <c r="L33" s="115" t="s">
        <v>2605</v>
      </c>
      <c r="M33" s="115" t="s">
        <v>2633</v>
      </c>
      <c r="N33" s="115">
        <v>69112</v>
      </c>
      <c r="O33" s="112">
        <v>1</v>
      </c>
      <c r="P33" s="116" t="s">
        <v>2683</v>
      </c>
      <c r="Q33" s="112" t="str">
        <f t="shared" si="2"/>
        <v/>
      </c>
      <c r="R33" s="112" t="str">
        <f t="shared" si="3"/>
        <v/>
      </c>
      <c r="S33" s="112" t="str">
        <f t="shared" si="6"/>
        <v/>
      </c>
      <c r="T33" s="112" t="str">
        <f t="shared" si="7"/>
        <v/>
      </c>
      <c r="U33" s="112" t="str">
        <f t="shared" si="8"/>
        <v/>
      </c>
      <c r="V33" s="112" t="str">
        <f t="shared" si="9"/>
        <v/>
      </c>
      <c r="W33" s="112" t="str">
        <f t="shared" si="10"/>
        <v/>
      </c>
      <c r="X33" s="112" t="str">
        <f t="shared" si="4"/>
        <v/>
      </c>
      <c r="Y33" s="112" t="str">
        <f t="shared" si="5"/>
        <v/>
      </c>
      <c r="Z33" s="112" t="str">
        <f t="shared" si="11"/>
        <v/>
      </c>
      <c r="AA33" s="112" t="str">
        <f t="shared" si="12"/>
        <v/>
      </c>
      <c r="AB33" s="112" t="str">
        <f t="shared" si="13"/>
        <v/>
      </c>
      <c r="AC33" s="112" t="str">
        <f t="shared" si="14"/>
        <v/>
      </c>
      <c r="AD33" s="112" t="str">
        <f t="shared" si="15"/>
        <v/>
      </c>
      <c r="AG33" s="117" t="s">
        <v>2543</v>
      </c>
    </row>
    <row r="34" spans="1:33" x14ac:dyDescent="0.2">
      <c r="A34" s="112" t="str">
        <f>IF(SUM(Q34:R34)=1,1+MAX($A$1:A33),"")</f>
        <v/>
      </c>
      <c r="B34" s="112" t="str">
        <f>IF(SUM(X34:Y34)=1,1+MAX($B$1:B33),"")</f>
        <v/>
      </c>
      <c r="C34" s="112" t="str">
        <f>IF(SUM(Q34:R34,X34:Y34)=2,1+MAX($C$1:C33),"")</f>
        <v/>
      </c>
      <c r="D34" s="113">
        <v>41812</v>
      </c>
      <c r="E34" s="112">
        <v>2014</v>
      </c>
      <c r="F34" s="112" t="s">
        <v>2652</v>
      </c>
      <c r="G34" s="112" t="s">
        <v>2653</v>
      </c>
      <c r="H34" s="114" t="s">
        <v>2635</v>
      </c>
      <c r="I34" s="112">
        <f t="shared" si="0"/>
        <v>4</v>
      </c>
      <c r="J34" s="112">
        <f t="shared" si="1"/>
        <v>2</v>
      </c>
      <c r="K34" s="115" t="s">
        <v>2543</v>
      </c>
      <c r="L34" s="115" t="s">
        <v>2636</v>
      </c>
      <c r="M34" s="115" t="s">
        <v>2694</v>
      </c>
      <c r="N34" s="115">
        <v>42732</v>
      </c>
      <c r="O34" s="112">
        <v>1</v>
      </c>
      <c r="P34" s="116" t="s">
        <v>2695</v>
      </c>
      <c r="Q34" s="112" t="str">
        <f t="shared" si="2"/>
        <v/>
      </c>
      <c r="R34" s="112" t="str">
        <f t="shared" si="3"/>
        <v/>
      </c>
      <c r="S34" s="112" t="str">
        <f t="shared" si="6"/>
        <v/>
      </c>
      <c r="T34" s="112" t="str">
        <f t="shared" si="7"/>
        <v/>
      </c>
      <c r="U34" s="112" t="str">
        <f t="shared" si="8"/>
        <v/>
      </c>
      <c r="V34" s="112" t="str">
        <f t="shared" si="9"/>
        <v/>
      </c>
      <c r="W34" s="112" t="str">
        <f t="shared" si="10"/>
        <v/>
      </c>
      <c r="X34" s="112" t="str">
        <f t="shared" si="4"/>
        <v/>
      </c>
      <c r="Y34" s="112" t="str">
        <f t="shared" si="5"/>
        <v/>
      </c>
      <c r="Z34" s="112" t="str">
        <f t="shared" si="11"/>
        <v/>
      </c>
      <c r="AA34" s="112" t="str">
        <f t="shared" si="12"/>
        <v/>
      </c>
      <c r="AB34" s="112" t="str">
        <f t="shared" si="13"/>
        <v/>
      </c>
      <c r="AC34" s="112" t="str">
        <f t="shared" si="14"/>
        <v/>
      </c>
      <c r="AD34" s="112" t="str">
        <f t="shared" si="15"/>
        <v/>
      </c>
      <c r="AG34" s="117" t="s">
        <v>2635</v>
      </c>
    </row>
    <row r="35" spans="1:33" x14ac:dyDescent="0.2">
      <c r="A35" s="112" t="str">
        <f>IF(SUM(Q35:R35)=1,1+MAX($A$1:A34),"")</f>
        <v/>
      </c>
      <c r="B35" s="112" t="str">
        <f>IF(SUM(X35:Y35)=1,1+MAX($B$1:B34),"")</f>
        <v/>
      </c>
      <c r="C35" s="112" t="str">
        <f>IF(SUM(Q35:R35,X35:Y35)=2,1+MAX($C$1:C34),"")</f>
        <v/>
      </c>
      <c r="D35" s="113">
        <v>41812</v>
      </c>
      <c r="E35" s="112">
        <v>2014</v>
      </c>
      <c r="F35" s="112" t="s">
        <v>2652</v>
      </c>
      <c r="G35" s="112" t="s">
        <v>2653</v>
      </c>
      <c r="H35" s="114" t="s">
        <v>2554</v>
      </c>
      <c r="I35" s="112">
        <f t="shared" si="0"/>
        <v>1</v>
      </c>
      <c r="J35" s="112">
        <f t="shared" si="1"/>
        <v>0</v>
      </c>
      <c r="K35" s="115" t="s">
        <v>2546</v>
      </c>
      <c r="L35" s="115" t="s">
        <v>2599</v>
      </c>
      <c r="M35" s="115" t="s">
        <v>2696</v>
      </c>
      <c r="N35" s="115">
        <v>73819</v>
      </c>
      <c r="O35" s="112">
        <v>1</v>
      </c>
      <c r="P35" s="116" t="s">
        <v>2622</v>
      </c>
      <c r="Q35" s="112" t="str">
        <f t="shared" si="2"/>
        <v/>
      </c>
      <c r="R35" s="112" t="str">
        <f t="shared" si="3"/>
        <v/>
      </c>
      <c r="S35" s="112" t="str">
        <f t="shared" si="6"/>
        <v/>
      </c>
      <c r="T35" s="112" t="str">
        <f t="shared" si="7"/>
        <v/>
      </c>
      <c r="U35" s="112" t="str">
        <f t="shared" si="8"/>
        <v/>
      </c>
      <c r="V35" s="112" t="str">
        <f t="shared" si="9"/>
        <v/>
      </c>
      <c r="W35" s="112" t="str">
        <f t="shared" si="10"/>
        <v/>
      </c>
      <c r="X35" s="112" t="str">
        <f t="shared" si="4"/>
        <v/>
      </c>
      <c r="Y35" s="112" t="str">
        <f t="shared" si="5"/>
        <v/>
      </c>
      <c r="Z35" s="112" t="str">
        <f t="shared" si="11"/>
        <v/>
      </c>
      <c r="AA35" s="112" t="str">
        <f t="shared" si="12"/>
        <v/>
      </c>
      <c r="AB35" s="112" t="str">
        <f t="shared" si="13"/>
        <v/>
      </c>
      <c r="AC35" s="112" t="str">
        <f t="shared" si="14"/>
        <v/>
      </c>
      <c r="AD35" s="112" t="str">
        <f t="shared" si="15"/>
        <v/>
      </c>
      <c r="AG35" s="117" t="s">
        <v>2693</v>
      </c>
    </row>
    <row r="36" spans="1:33" x14ac:dyDescent="0.2">
      <c r="A36" s="112" t="str">
        <f>IF(SUM(Q36:R36)=1,1+MAX($A$1:A35),"")</f>
        <v/>
      </c>
      <c r="B36" s="112" t="str">
        <f>IF(SUM(X36:Y36)=1,1+MAX($B$1:B35),"")</f>
        <v/>
      </c>
      <c r="C36" s="112" t="str">
        <f>IF(SUM(Q36:R36,X36:Y36)=2,1+MAX($C$1:C35),"")</f>
        <v/>
      </c>
      <c r="D36" s="113">
        <v>41812</v>
      </c>
      <c r="E36" s="112">
        <v>2014</v>
      </c>
      <c r="F36" s="112" t="s">
        <v>2656</v>
      </c>
      <c r="G36" s="112" t="s">
        <v>2657</v>
      </c>
      <c r="H36" s="114" t="s">
        <v>2556</v>
      </c>
      <c r="I36" s="112">
        <f t="shared" si="0"/>
        <v>2</v>
      </c>
      <c r="J36" s="112">
        <f t="shared" si="1"/>
        <v>2</v>
      </c>
      <c r="K36" s="115" t="s">
        <v>2614</v>
      </c>
      <c r="L36" s="115" t="s">
        <v>2670</v>
      </c>
      <c r="M36" s="115" t="s">
        <v>2628</v>
      </c>
      <c r="N36" s="115">
        <v>40123</v>
      </c>
      <c r="O36" s="112">
        <v>1</v>
      </c>
      <c r="P36" s="116" t="s">
        <v>2697</v>
      </c>
      <c r="Q36" s="112" t="str">
        <f t="shared" si="2"/>
        <v/>
      </c>
      <c r="R36" s="112" t="str">
        <f t="shared" si="3"/>
        <v/>
      </c>
      <c r="S36" s="112" t="str">
        <f t="shared" si="6"/>
        <v/>
      </c>
      <c r="T36" s="112" t="str">
        <f t="shared" si="7"/>
        <v/>
      </c>
      <c r="U36" s="112" t="str">
        <f t="shared" si="8"/>
        <v/>
      </c>
      <c r="V36" s="112" t="str">
        <f t="shared" si="9"/>
        <v/>
      </c>
      <c r="W36" s="112" t="str">
        <f t="shared" si="10"/>
        <v/>
      </c>
      <c r="X36" s="112" t="str">
        <f t="shared" si="4"/>
        <v/>
      </c>
      <c r="Y36" s="112" t="str">
        <f t="shared" si="5"/>
        <v/>
      </c>
      <c r="Z36" s="112" t="str">
        <f t="shared" si="11"/>
        <v/>
      </c>
      <c r="AA36" s="112" t="str">
        <f t="shared" si="12"/>
        <v/>
      </c>
      <c r="AB36" s="112" t="str">
        <f t="shared" si="13"/>
        <v/>
      </c>
      <c r="AC36" s="112" t="str">
        <f t="shared" si="14"/>
        <v/>
      </c>
      <c r="AD36" s="112" t="str">
        <f t="shared" si="15"/>
        <v/>
      </c>
      <c r="AG36" s="117" t="s">
        <v>2698</v>
      </c>
    </row>
    <row r="37" spans="1:33" x14ac:dyDescent="0.2">
      <c r="A37" s="112" t="str">
        <f>IF(SUM(Q37:R37)=1,1+MAX($A$1:A36),"")</f>
        <v/>
      </c>
      <c r="B37" s="112" t="str">
        <f>IF(SUM(X37:Y37)=1,1+MAX($B$1:B36),"")</f>
        <v/>
      </c>
      <c r="C37" s="112" t="str">
        <f>IF(SUM(Q37:R37,X37:Y37)=2,1+MAX($C$1:C36),"")</f>
        <v/>
      </c>
      <c r="D37" s="113">
        <v>41811</v>
      </c>
      <c r="E37" s="112">
        <v>2014</v>
      </c>
      <c r="F37" s="112" t="s">
        <v>2656</v>
      </c>
      <c r="G37" s="112" t="s">
        <v>2657</v>
      </c>
      <c r="H37" s="114" t="s">
        <v>2547</v>
      </c>
      <c r="I37" s="112">
        <f t="shared" si="0"/>
        <v>2</v>
      </c>
      <c r="J37" s="112">
        <f t="shared" si="1"/>
        <v>2</v>
      </c>
      <c r="K37" s="115" t="s">
        <v>2658</v>
      </c>
      <c r="L37" s="115" t="s">
        <v>2624</v>
      </c>
      <c r="M37" s="115" t="s">
        <v>2637</v>
      </c>
      <c r="N37" s="115">
        <v>59621</v>
      </c>
      <c r="O37" s="112">
        <v>1</v>
      </c>
      <c r="P37" s="116" t="s">
        <v>2697</v>
      </c>
      <c r="Q37" s="112" t="str">
        <f t="shared" si="2"/>
        <v/>
      </c>
      <c r="R37" s="112" t="str">
        <f t="shared" si="3"/>
        <v/>
      </c>
      <c r="S37" s="112" t="str">
        <f t="shared" si="6"/>
        <v/>
      </c>
      <c r="T37" s="112" t="str">
        <f t="shared" si="7"/>
        <v/>
      </c>
      <c r="U37" s="112" t="str">
        <f t="shared" si="8"/>
        <v/>
      </c>
      <c r="V37" s="112" t="str">
        <f t="shared" si="9"/>
        <v/>
      </c>
      <c r="W37" s="112" t="str">
        <f t="shared" si="10"/>
        <v/>
      </c>
      <c r="X37" s="112" t="str">
        <f t="shared" si="4"/>
        <v/>
      </c>
      <c r="Y37" s="112" t="str">
        <f t="shared" si="5"/>
        <v/>
      </c>
      <c r="Z37" s="112" t="str">
        <f t="shared" si="11"/>
        <v/>
      </c>
      <c r="AA37" s="112" t="str">
        <f t="shared" si="12"/>
        <v/>
      </c>
      <c r="AB37" s="112" t="str">
        <f t="shared" si="13"/>
        <v/>
      </c>
      <c r="AC37" s="112" t="str">
        <f t="shared" si="14"/>
        <v/>
      </c>
      <c r="AD37" s="112" t="str">
        <f t="shared" si="15"/>
        <v/>
      </c>
      <c r="AG37" s="117" t="s">
        <v>1347</v>
      </c>
    </row>
    <row r="38" spans="1:33" x14ac:dyDescent="0.2">
      <c r="A38" s="112" t="str">
        <f>IF(SUM(Q38:R38)=1,1+MAX($A$1:A37),"")</f>
        <v/>
      </c>
      <c r="B38" s="112" t="str">
        <f>IF(SUM(X38:Y38)=1,1+MAX($B$1:B37),"")</f>
        <v/>
      </c>
      <c r="C38" s="112" t="str">
        <f>IF(SUM(Q38:R38,X38:Y38)=2,1+MAX($C$1:C37),"")</f>
        <v/>
      </c>
      <c r="D38" s="113">
        <v>41811</v>
      </c>
      <c r="E38" s="112">
        <v>2014</v>
      </c>
      <c r="F38" s="112" t="s">
        <v>2661</v>
      </c>
      <c r="G38" s="112" t="s">
        <v>2662</v>
      </c>
      <c r="H38" s="114" t="s">
        <v>2639</v>
      </c>
      <c r="I38" s="112">
        <f t="shared" si="0"/>
        <v>0</v>
      </c>
      <c r="J38" s="112">
        <f t="shared" si="1"/>
        <v>1</v>
      </c>
      <c r="K38" s="115" t="s">
        <v>2542</v>
      </c>
      <c r="L38" s="115" t="s">
        <v>2682</v>
      </c>
      <c r="M38" s="115" t="s">
        <v>2699</v>
      </c>
      <c r="N38" s="115">
        <v>40499</v>
      </c>
      <c r="O38" s="112">
        <v>1</v>
      </c>
      <c r="P38" s="116" t="s">
        <v>2601</v>
      </c>
      <c r="Q38" s="112" t="str">
        <f t="shared" si="2"/>
        <v/>
      </c>
      <c r="R38" s="112" t="str">
        <f t="shared" si="3"/>
        <v/>
      </c>
      <c r="S38" s="112" t="str">
        <f t="shared" si="6"/>
        <v/>
      </c>
      <c r="T38" s="112" t="str">
        <f t="shared" si="7"/>
        <v/>
      </c>
      <c r="U38" s="112" t="str">
        <f t="shared" si="8"/>
        <v/>
      </c>
      <c r="V38" s="112" t="str">
        <f t="shared" si="9"/>
        <v/>
      </c>
      <c r="W38" s="112" t="str">
        <f t="shared" si="10"/>
        <v/>
      </c>
      <c r="X38" s="112" t="str">
        <f t="shared" si="4"/>
        <v/>
      </c>
      <c r="Y38" s="112" t="str">
        <f t="shared" si="5"/>
        <v/>
      </c>
      <c r="Z38" s="112" t="str">
        <f t="shared" si="11"/>
        <v/>
      </c>
      <c r="AA38" s="112" t="str">
        <f t="shared" si="12"/>
        <v/>
      </c>
      <c r="AB38" s="112" t="str">
        <f t="shared" si="13"/>
        <v/>
      </c>
      <c r="AC38" s="112" t="str">
        <f t="shared" si="14"/>
        <v/>
      </c>
      <c r="AD38" s="112" t="str">
        <f t="shared" si="15"/>
        <v/>
      </c>
      <c r="AG38" s="117" t="s">
        <v>2700</v>
      </c>
    </row>
    <row r="39" spans="1:33" x14ac:dyDescent="0.2">
      <c r="A39" s="112" t="str">
        <f>IF(SUM(Q39:R39)=1,1+MAX($A$1:A38),"")</f>
        <v/>
      </c>
      <c r="B39" s="112">
        <f>IF(SUM(X39:Y39)=1,1+MAX($B$1:B38),"")</f>
        <v>6</v>
      </c>
      <c r="C39" s="112" t="str">
        <f>IF(SUM(Q39:R39,X39:Y39)=2,1+MAX($C$1:C38),"")</f>
        <v/>
      </c>
      <c r="D39" s="113">
        <v>41811</v>
      </c>
      <c r="E39" s="112">
        <v>2014</v>
      </c>
      <c r="F39" s="112" t="s">
        <v>2661</v>
      </c>
      <c r="G39" s="112" t="s">
        <v>2662</v>
      </c>
      <c r="H39" s="114" t="s">
        <v>1134</v>
      </c>
      <c r="I39" s="112">
        <f t="shared" si="0"/>
        <v>1</v>
      </c>
      <c r="J39" s="112">
        <f t="shared" si="1"/>
        <v>0</v>
      </c>
      <c r="K39" s="115" t="s">
        <v>2553</v>
      </c>
      <c r="L39" s="115" t="s">
        <v>2615</v>
      </c>
      <c r="M39" s="115" t="s">
        <v>2701</v>
      </c>
      <c r="N39" s="115">
        <v>57698</v>
      </c>
      <c r="O39" s="112">
        <v>1</v>
      </c>
      <c r="P39" s="116" t="s">
        <v>2622</v>
      </c>
      <c r="Q39" s="112" t="str">
        <f t="shared" si="2"/>
        <v/>
      </c>
      <c r="R39" s="112" t="str">
        <f t="shared" si="3"/>
        <v/>
      </c>
      <c r="S39" s="112" t="str">
        <f t="shared" si="6"/>
        <v/>
      </c>
      <c r="T39" s="112" t="str">
        <f t="shared" si="7"/>
        <v/>
      </c>
      <c r="U39" s="112" t="str">
        <f t="shared" si="8"/>
        <v/>
      </c>
      <c r="V39" s="112" t="str">
        <f t="shared" si="9"/>
        <v/>
      </c>
      <c r="W39" s="112" t="str">
        <f t="shared" si="10"/>
        <v/>
      </c>
      <c r="X39" s="112">
        <f t="shared" si="4"/>
        <v>1</v>
      </c>
      <c r="Y39" s="112" t="str">
        <f t="shared" si="5"/>
        <v/>
      </c>
      <c r="Z39" s="112">
        <f t="shared" si="11"/>
        <v>1</v>
      </c>
      <c r="AA39" s="112">
        <f t="shared" si="12"/>
        <v>0</v>
      </c>
      <c r="AB39" s="112">
        <f t="shared" si="13"/>
        <v>0</v>
      </c>
      <c r="AC39" s="112">
        <f t="shared" si="14"/>
        <v>1</v>
      </c>
      <c r="AD39" s="112">
        <f t="shared" si="15"/>
        <v>1</v>
      </c>
      <c r="AG39" s="117" t="s">
        <v>2550</v>
      </c>
    </row>
    <row r="40" spans="1:33" x14ac:dyDescent="0.2">
      <c r="A40" s="112" t="str">
        <f>IF(SUM(Q40:R40)=1,1+MAX($A$1:A39),"")</f>
        <v/>
      </c>
      <c r="B40" s="112" t="str">
        <f>IF(SUM(X40:Y40)=1,1+MAX($B$1:B39),"")</f>
        <v/>
      </c>
      <c r="C40" s="112" t="str">
        <f>IF(SUM(Q40:R40,X40:Y40)=2,1+MAX($C$1:C39),"")</f>
        <v/>
      </c>
      <c r="D40" s="113">
        <v>41810</v>
      </c>
      <c r="E40" s="112">
        <v>2014</v>
      </c>
      <c r="F40" s="112" t="s">
        <v>2666</v>
      </c>
      <c r="G40" s="112" t="s">
        <v>2667</v>
      </c>
      <c r="H40" s="114" t="s">
        <v>2655</v>
      </c>
      <c r="I40" s="112">
        <f t="shared" si="0"/>
        <v>2</v>
      </c>
      <c r="J40" s="112">
        <f t="shared" si="1"/>
        <v>1</v>
      </c>
      <c r="K40" s="115" t="s">
        <v>2669</v>
      </c>
      <c r="L40" s="115" t="s">
        <v>2654</v>
      </c>
      <c r="M40" s="115" t="s">
        <v>2644</v>
      </c>
      <c r="N40" s="115">
        <v>39224</v>
      </c>
      <c r="O40" s="112">
        <v>1</v>
      </c>
      <c r="P40" s="116" t="s">
        <v>2626</v>
      </c>
      <c r="Q40" s="112" t="str">
        <f t="shared" si="2"/>
        <v/>
      </c>
      <c r="R40" s="112" t="str">
        <f t="shared" si="3"/>
        <v/>
      </c>
      <c r="S40" s="112" t="str">
        <f t="shared" si="6"/>
        <v/>
      </c>
      <c r="T40" s="112" t="str">
        <f t="shared" si="7"/>
        <v/>
      </c>
      <c r="U40" s="112" t="str">
        <f t="shared" si="8"/>
        <v/>
      </c>
      <c r="V40" s="112" t="str">
        <f t="shared" si="9"/>
        <v/>
      </c>
      <c r="W40" s="112" t="str">
        <f t="shared" si="10"/>
        <v/>
      </c>
      <c r="X40" s="112" t="str">
        <f t="shared" si="4"/>
        <v/>
      </c>
      <c r="Y40" s="112" t="str">
        <f t="shared" si="5"/>
        <v/>
      </c>
      <c r="Z40" s="112" t="str">
        <f t="shared" si="11"/>
        <v/>
      </c>
      <c r="AA40" s="112" t="str">
        <f t="shared" si="12"/>
        <v/>
      </c>
      <c r="AB40" s="112" t="str">
        <f t="shared" si="13"/>
        <v/>
      </c>
      <c r="AC40" s="112" t="str">
        <f t="shared" si="14"/>
        <v/>
      </c>
      <c r="AD40" s="112" t="str">
        <f t="shared" si="15"/>
        <v/>
      </c>
      <c r="AG40" s="117" t="s">
        <v>2679</v>
      </c>
    </row>
    <row r="41" spans="1:33" x14ac:dyDescent="0.2">
      <c r="A41" s="112" t="str">
        <f>IF(SUM(Q41:R41)=1,1+MAX($A$1:A40),"")</f>
        <v/>
      </c>
      <c r="B41" s="112" t="str">
        <f>IF(SUM(X41:Y41)=1,1+MAX($B$1:B40),"")</f>
        <v/>
      </c>
      <c r="C41" s="112" t="str">
        <f>IF(SUM(Q41:R41,X41:Y41)=2,1+MAX($C$1:C40),"")</f>
        <v/>
      </c>
      <c r="D41" s="113">
        <v>41810</v>
      </c>
      <c r="E41" s="112">
        <v>2014</v>
      </c>
      <c r="F41" s="112" t="s">
        <v>2666</v>
      </c>
      <c r="G41" s="112" t="s">
        <v>2667</v>
      </c>
      <c r="H41" s="114" t="s">
        <v>2541</v>
      </c>
      <c r="I41" s="112">
        <f t="shared" si="0"/>
        <v>5</v>
      </c>
      <c r="J41" s="112">
        <f t="shared" si="1"/>
        <v>2</v>
      </c>
      <c r="K41" s="115" t="s">
        <v>2558</v>
      </c>
      <c r="L41" s="115" t="s">
        <v>2620</v>
      </c>
      <c r="M41" s="115" t="s">
        <v>2649</v>
      </c>
      <c r="N41" s="115">
        <v>51003</v>
      </c>
      <c r="O41" s="112">
        <v>1</v>
      </c>
      <c r="P41" s="116" t="s">
        <v>2702</v>
      </c>
      <c r="Q41" s="112" t="str">
        <f t="shared" si="2"/>
        <v/>
      </c>
      <c r="R41" s="112" t="str">
        <f t="shared" si="3"/>
        <v/>
      </c>
      <c r="S41" s="112" t="str">
        <f t="shared" si="6"/>
        <v/>
      </c>
      <c r="T41" s="112" t="str">
        <f t="shared" si="7"/>
        <v/>
      </c>
      <c r="U41" s="112" t="str">
        <f t="shared" si="8"/>
        <v/>
      </c>
      <c r="V41" s="112" t="str">
        <f t="shared" si="9"/>
        <v/>
      </c>
      <c r="W41" s="112" t="str">
        <f t="shared" si="10"/>
        <v/>
      </c>
      <c r="X41" s="112" t="str">
        <f t="shared" si="4"/>
        <v/>
      </c>
      <c r="Y41" s="112" t="str">
        <f t="shared" si="5"/>
        <v/>
      </c>
      <c r="Z41" s="112" t="str">
        <f t="shared" si="11"/>
        <v/>
      </c>
      <c r="AA41" s="112" t="str">
        <f t="shared" si="12"/>
        <v/>
      </c>
      <c r="AB41" s="112" t="str">
        <f t="shared" si="13"/>
        <v/>
      </c>
      <c r="AC41" s="112" t="str">
        <f t="shared" si="14"/>
        <v/>
      </c>
      <c r="AD41" s="112" t="str">
        <f t="shared" si="15"/>
        <v/>
      </c>
      <c r="AG41" s="117" t="s">
        <v>2703</v>
      </c>
    </row>
    <row r="42" spans="1:33" x14ac:dyDescent="0.2">
      <c r="A42" s="112" t="str">
        <f>IF(SUM(Q42:R42)=1,1+MAX($A$1:A41),"")</f>
        <v/>
      </c>
      <c r="B42" s="112" t="str">
        <f>IF(SUM(X42:Y42)=1,1+MAX($B$1:B41),"")</f>
        <v/>
      </c>
      <c r="C42" s="112" t="str">
        <f>IF(SUM(Q42:R42,X42:Y42)=2,1+MAX($C$1:C41),"")</f>
        <v/>
      </c>
      <c r="D42" s="113">
        <v>41810</v>
      </c>
      <c r="E42" s="112">
        <v>2014</v>
      </c>
      <c r="F42" s="112" t="s">
        <v>2672</v>
      </c>
      <c r="G42" s="112" t="s">
        <v>2673</v>
      </c>
      <c r="H42" s="114" t="s">
        <v>2550</v>
      </c>
      <c r="I42" s="112">
        <f t="shared" si="0"/>
        <v>1</v>
      </c>
      <c r="J42" s="112">
        <f t="shared" si="1"/>
        <v>0</v>
      </c>
      <c r="K42" s="115" t="s">
        <v>2674</v>
      </c>
      <c r="L42" s="115" t="s">
        <v>2643</v>
      </c>
      <c r="M42" s="115" t="s">
        <v>2704</v>
      </c>
      <c r="N42" s="115">
        <v>40285</v>
      </c>
      <c r="O42" s="112">
        <v>1</v>
      </c>
      <c r="P42" s="116" t="s">
        <v>2622</v>
      </c>
      <c r="Q42" s="112" t="str">
        <f t="shared" si="2"/>
        <v/>
      </c>
      <c r="R42" s="112" t="str">
        <f t="shared" si="3"/>
        <v/>
      </c>
      <c r="S42" s="112" t="str">
        <f t="shared" si="6"/>
        <v/>
      </c>
      <c r="T42" s="112" t="str">
        <f t="shared" si="7"/>
        <v/>
      </c>
      <c r="U42" s="112" t="str">
        <f t="shared" si="8"/>
        <v/>
      </c>
      <c r="V42" s="112" t="str">
        <f t="shared" si="9"/>
        <v/>
      </c>
      <c r="W42" s="112" t="str">
        <f t="shared" si="10"/>
        <v/>
      </c>
      <c r="X42" s="112" t="str">
        <f t="shared" si="4"/>
        <v/>
      </c>
      <c r="Y42" s="112" t="str">
        <f t="shared" si="5"/>
        <v/>
      </c>
      <c r="Z42" s="112" t="str">
        <f t="shared" si="11"/>
        <v/>
      </c>
      <c r="AA42" s="112" t="str">
        <f t="shared" si="12"/>
        <v/>
      </c>
      <c r="AB42" s="112" t="str">
        <f t="shared" si="13"/>
        <v/>
      </c>
      <c r="AC42" s="112" t="str">
        <f t="shared" si="14"/>
        <v/>
      </c>
      <c r="AD42" s="112" t="str">
        <f t="shared" si="15"/>
        <v/>
      </c>
      <c r="AG42" s="117" t="s">
        <v>2555</v>
      </c>
    </row>
    <row r="43" spans="1:33" x14ac:dyDescent="0.2">
      <c r="A43" s="112">
        <f>IF(SUM(Q43:R43)=1,1+MAX($A$1:A42),"")</f>
        <v>2</v>
      </c>
      <c r="B43" s="112" t="str">
        <f>IF(SUM(X43:Y43)=1,1+MAX($B$1:B42),"")</f>
        <v/>
      </c>
      <c r="C43" s="112" t="str">
        <f>IF(SUM(Q43:R43,X43:Y43)=2,1+MAX($C$1:C42),"")</f>
        <v/>
      </c>
      <c r="D43" s="113">
        <v>41809</v>
      </c>
      <c r="E43" s="112">
        <v>2014</v>
      </c>
      <c r="F43" s="112" t="s">
        <v>2672</v>
      </c>
      <c r="G43" s="112" t="s">
        <v>2673</v>
      </c>
      <c r="H43" s="114" t="s">
        <v>2545</v>
      </c>
      <c r="I43" s="112">
        <f t="shared" si="0"/>
        <v>1</v>
      </c>
      <c r="J43" s="112">
        <f t="shared" si="1"/>
        <v>2</v>
      </c>
      <c r="K43" s="115" t="s">
        <v>2540</v>
      </c>
      <c r="L43" s="115" t="s">
        <v>2632</v>
      </c>
      <c r="M43" s="115" t="s">
        <v>2625</v>
      </c>
      <c r="N43" s="115">
        <v>62575</v>
      </c>
      <c r="O43" s="112">
        <v>1</v>
      </c>
      <c r="P43" s="116" t="s">
        <v>2638</v>
      </c>
      <c r="Q43" s="112">
        <f t="shared" si="2"/>
        <v>1</v>
      </c>
      <c r="R43" s="112" t="str">
        <f t="shared" si="3"/>
        <v/>
      </c>
      <c r="S43" s="112">
        <f t="shared" si="6"/>
        <v>0</v>
      </c>
      <c r="T43" s="112">
        <f t="shared" si="7"/>
        <v>0</v>
      </c>
      <c r="U43" s="112">
        <f t="shared" si="8"/>
        <v>1</v>
      </c>
      <c r="V43" s="112">
        <f t="shared" si="9"/>
        <v>3</v>
      </c>
      <c r="W43" s="112">
        <f t="shared" si="10"/>
        <v>-1</v>
      </c>
      <c r="X43" s="112" t="str">
        <f t="shared" si="4"/>
        <v/>
      </c>
      <c r="Y43" s="112" t="str">
        <f t="shared" si="5"/>
        <v/>
      </c>
      <c r="Z43" s="112" t="str">
        <f t="shared" si="11"/>
        <v/>
      </c>
      <c r="AA43" s="112" t="str">
        <f t="shared" si="12"/>
        <v/>
      </c>
      <c r="AB43" s="112" t="str">
        <f t="shared" si="13"/>
        <v/>
      </c>
      <c r="AC43" s="112" t="str">
        <f t="shared" si="14"/>
        <v/>
      </c>
      <c r="AD43" s="112" t="str">
        <f t="shared" si="15"/>
        <v/>
      </c>
      <c r="AG43" s="117" t="s">
        <v>1061</v>
      </c>
    </row>
    <row r="44" spans="1:33" x14ac:dyDescent="0.2">
      <c r="A44" s="112" t="str">
        <f>IF(SUM(Q44:R44)=1,1+MAX($A$1:A43),"")</f>
        <v/>
      </c>
      <c r="B44" s="112" t="str">
        <f>IF(SUM(X44:Y44)=1,1+MAX($B$1:B43),"")</f>
        <v/>
      </c>
      <c r="C44" s="112" t="str">
        <f>IF(SUM(Q44:R44,X44:Y44)=2,1+MAX($C$1:C43),"")</f>
        <v/>
      </c>
      <c r="D44" s="113">
        <v>41809</v>
      </c>
      <c r="E44" s="112">
        <v>2014</v>
      </c>
      <c r="F44" s="112" t="s">
        <v>2677</v>
      </c>
      <c r="G44" s="112" t="s">
        <v>2678</v>
      </c>
      <c r="H44" s="114" t="s">
        <v>2642</v>
      </c>
      <c r="I44" s="112">
        <f t="shared" si="0"/>
        <v>0</v>
      </c>
      <c r="J44" s="112">
        <f t="shared" si="1"/>
        <v>0</v>
      </c>
      <c r="K44" s="115" t="s">
        <v>1395</v>
      </c>
      <c r="L44" s="115" t="s">
        <v>2675</v>
      </c>
      <c r="M44" s="115" t="s">
        <v>2705</v>
      </c>
      <c r="N44" s="115">
        <v>39485</v>
      </c>
      <c r="O44" s="112">
        <v>1</v>
      </c>
      <c r="P44" s="116" t="s">
        <v>2613</v>
      </c>
      <c r="Q44" s="112" t="str">
        <f t="shared" si="2"/>
        <v/>
      </c>
      <c r="R44" s="112" t="str">
        <f t="shared" si="3"/>
        <v/>
      </c>
      <c r="S44" s="112" t="str">
        <f t="shared" si="6"/>
        <v/>
      </c>
      <c r="T44" s="112" t="str">
        <f t="shared" si="7"/>
        <v/>
      </c>
      <c r="U44" s="112" t="str">
        <f t="shared" si="8"/>
        <v/>
      </c>
      <c r="V44" s="112" t="str">
        <f t="shared" si="9"/>
        <v/>
      </c>
      <c r="W44" s="112" t="str">
        <f t="shared" si="10"/>
        <v/>
      </c>
      <c r="X44" s="112" t="str">
        <f t="shared" si="4"/>
        <v/>
      </c>
      <c r="Y44" s="112" t="str">
        <f t="shared" si="5"/>
        <v/>
      </c>
      <c r="Z44" s="112" t="str">
        <f t="shared" si="11"/>
        <v/>
      </c>
      <c r="AA44" s="112" t="str">
        <f t="shared" si="12"/>
        <v/>
      </c>
      <c r="AB44" s="112" t="str">
        <f t="shared" si="13"/>
        <v/>
      </c>
      <c r="AC44" s="112" t="str">
        <f t="shared" si="14"/>
        <v/>
      </c>
      <c r="AD44" s="112" t="str">
        <f t="shared" si="15"/>
        <v/>
      </c>
      <c r="AG44" s="117" t="s">
        <v>2552</v>
      </c>
    </row>
    <row r="45" spans="1:33" x14ac:dyDescent="0.2">
      <c r="A45" s="112" t="str">
        <f>IF(SUM(Q45:R45)=1,1+MAX($A$1:A44),"")</f>
        <v/>
      </c>
      <c r="B45" s="112" t="str">
        <f>IF(SUM(X45:Y45)=1,1+MAX($B$1:B44),"")</f>
        <v/>
      </c>
      <c r="C45" s="112" t="str">
        <f>IF(SUM(Q45:R45,X45:Y45)=2,1+MAX($C$1:C44),"")</f>
        <v/>
      </c>
      <c r="D45" s="113">
        <v>41809</v>
      </c>
      <c r="E45" s="112">
        <v>2014</v>
      </c>
      <c r="F45" s="112" t="s">
        <v>2677</v>
      </c>
      <c r="G45" s="112" t="s">
        <v>2678</v>
      </c>
      <c r="H45" s="114" t="s">
        <v>1347</v>
      </c>
      <c r="I45" s="112">
        <f t="shared" si="0"/>
        <v>2</v>
      </c>
      <c r="J45" s="112">
        <f t="shared" si="1"/>
        <v>1</v>
      </c>
      <c r="K45" s="115" t="s">
        <v>2679</v>
      </c>
      <c r="L45" s="115" t="s">
        <v>2605</v>
      </c>
      <c r="M45" s="115" t="s">
        <v>2651</v>
      </c>
      <c r="N45" s="115">
        <v>68748</v>
      </c>
      <c r="O45" s="112">
        <v>1</v>
      </c>
      <c r="P45" s="116" t="s">
        <v>2626</v>
      </c>
      <c r="Q45" s="112" t="str">
        <f t="shared" si="2"/>
        <v/>
      </c>
      <c r="R45" s="112" t="str">
        <f t="shared" si="3"/>
        <v/>
      </c>
      <c r="S45" s="112" t="str">
        <f t="shared" si="6"/>
        <v/>
      </c>
      <c r="T45" s="112" t="str">
        <f t="shared" si="7"/>
        <v/>
      </c>
      <c r="U45" s="112" t="str">
        <f t="shared" si="8"/>
        <v/>
      </c>
      <c r="V45" s="112" t="str">
        <f t="shared" si="9"/>
        <v/>
      </c>
      <c r="W45" s="112" t="str">
        <f t="shared" si="10"/>
        <v/>
      </c>
      <c r="X45" s="112" t="str">
        <f t="shared" si="4"/>
        <v/>
      </c>
      <c r="Y45" s="112" t="str">
        <f t="shared" si="5"/>
        <v/>
      </c>
      <c r="Z45" s="112" t="str">
        <f t="shared" si="11"/>
        <v/>
      </c>
      <c r="AA45" s="112" t="str">
        <f t="shared" si="12"/>
        <v/>
      </c>
      <c r="AB45" s="112" t="str">
        <f t="shared" si="13"/>
        <v/>
      </c>
      <c r="AC45" s="112" t="str">
        <f t="shared" si="14"/>
        <v/>
      </c>
      <c r="AD45" s="112" t="str">
        <f t="shared" si="15"/>
        <v/>
      </c>
      <c r="AG45" s="117" t="s">
        <v>2604</v>
      </c>
    </row>
    <row r="46" spans="1:33" x14ac:dyDescent="0.2">
      <c r="A46" s="112" t="str">
        <f>IF(SUM(Q46:R46)=1,1+MAX($A$1:A45),"")</f>
        <v/>
      </c>
      <c r="B46" s="112" t="str">
        <f>IF(SUM(X46:Y46)=1,1+MAX($B$1:B45),"")</f>
        <v/>
      </c>
      <c r="C46" s="112" t="str">
        <f>IF(SUM(Q46:R46,X46:Y46)=2,1+MAX($C$1:C45),"")</f>
        <v/>
      </c>
      <c r="D46" s="113">
        <v>41808</v>
      </c>
      <c r="E46" s="112">
        <v>2014</v>
      </c>
      <c r="F46" s="112" t="s">
        <v>2684</v>
      </c>
      <c r="G46" s="112" t="s">
        <v>2685</v>
      </c>
      <c r="H46" s="114" t="s">
        <v>1317</v>
      </c>
      <c r="I46" s="112">
        <f t="shared" si="0"/>
        <v>2</v>
      </c>
      <c r="J46" s="112">
        <f t="shared" si="1"/>
        <v>3</v>
      </c>
      <c r="K46" s="115" t="s">
        <v>2604</v>
      </c>
      <c r="L46" s="115" t="s">
        <v>2636</v>
      </c>
      <c r="M46" s="115" t="s">
        <v>2606</v>
      </c>
      <c r="N46" s="115">
        <v>42877</v>
      </c>
      <c r="O46" s="112">
        <v>1</v>
      </c>
      <c r="P46" s="116" t="s">
        <v>2706</v>
      </c>
      <c r="Q46" s="112" t="str">
        <f t="shared" si="2"/>
        <v/>
      </c>
      <c r="R46" s="112" t="str">
        <f t="shared" si="3"/>
        <v/>
      </c>
      <c r="S46" s="112" t="str">
        <f t="shared" si="6"/>
        <v/>
      </c>
      <c r="T46" s="112" t="str">
        <f t="shared" si="7"/>
        <v/>
      </c>
      <c r="U46" s="112" t="str">
        <f t="shared" si="8"/>
        <v/>
      </c>
      <c r="V46" s="112" t="str">
        <f t="shared" si="9"/>
        <v/>
      </c>
      <c r="W46" s="112" t="str">
        <f t="shared" si="10"/>
        <v/>
      </c>
      <c r="X46" s="112" t="str">
        <f t="shared" si="4"/>
        <v/>
      </c>
      <c r="Y46" s="112" t="str">
        <f t="shared" si="5"/>
        <v/>
      </c>
      <c r="Z46" s="112" t="str">
        <f t="shared" si="11"/>
        <v/>
      </c>
      <c r="AA46" s="112" t="str">
        <f t="shared" si="12"/>
        <v/>
      </c>
      <c r="AB46" s="112" t="str">
        <f t="shared" si="13"/>
        <v/>
      </c>
      <c r="AC46" s="112" t="str">
        <f t="shared" si="14"/>
        <v/>
      </c>
      <c r="AD46" s="112" t="str">
        <f t="shared" si="15"/>
        <v/>
      </c>
      <c r="AG46" s="117" t="s">
        <v>2542</v>
      </c>
    </row>
    <row r="47" spans="1:33" x14ac:dyDescent="0.2">
      <c r="A47" s="112" t="str">
        <f>IF(SUM(Q47:R47)=1,1+MAX($A$1:A46),"")</f>
        <v/>
      </c>
      <c r="B47" s="112" t="str">
        <f>IF(SUM(X47:Y47)=1,1+MAX($B$1:B46),"")</f>
        <v/>
      </c>
      <c r="C47" s="112" t="str">
        <f>IF(SUM(Q47:R47,X47:Y47)=2,1+MAX($C$1:C46),"")</f>
        <v/>
      </c>
      <c r="D47" s="113">
        <v>41808</v>
      </c>
      <c r="E47" s="112">
        <v>2014</v>
      </c>
      <c r="F47" s="112" t="s">
        <v>2684</v>
      </c>
      <c r="G47" s="112" t="s">
        <v>2685</v>
      </c>
      <c r="H47" s="114" t="s">
        <v>2650</v>
      </c>
      <c r="I47" s="112">
        <f t="shared" si="0"/>
        <v>2</v>
      </c>
      <c r="J47" s="112">
        <f t="shared" si="1"/>
        <v>0</v>
      </c>
      <c r="K47" s="115" t="s">
        <v>2557</v>
      </c>
      <c r="L47" s="115" t="s">
        <v>2599</v>
      </c>
      <c r="M47" s="115" t="s">
        <v>2640</v>
      </c>
      <c r="O47" s="112">
        <v>1</v>
      </c>
      <c r="P47" s="116" t="s">
        <v>2641</v>
      </c>
      <c r="Q47" s="112" t="str">
        <f t="shared" si="2"/>
        <v/>
      </c>
      <c r="R47" s="112" t="str">
        <f t="shared" si="3"/>
        <v/>
      </c>
      <c r="S47" s="112" t="str">
        <f t="shared" si="6"/>
        <v/>
      </c>
      <c r="T47" s="112" t="str">
        <f t="shared" si="7"/>
        <v/>
      </c>
      <c r="U47" s="112" t="str">
        <f t="shared" si="8"/>
        <v/>
      </c>
      <c r="V47" s="112" t="str">
        <f t="shared" si="9"/>
        <v/>
      </c>
      <c r="W47" s="112" t="str">
        <f t="shared" si="10"/>
        <v/>
      </c>
      <c r="X47" s="112" t="str">
        <f t="shared" si="4"/>
        <v/>
      </c>
      <c r="Y47" s="112" t="str">
        <f t="shared" si="5"/>
        <v/>
      </c>
      <c r="Z47" s="112" t="str">
        <f t="shared" si="11"/>
        <v/>
      </c>
      <c r="AA47" s="112" t="str">
        <f t="shared" si="12"/>
        <v/>
      </c>
      <c r="AB47" s="112" t="str">
        <f t="shared" si="13"/>
        <v/>
      </c>
      <c r="AC47" s="112" t="str">
        <f t="shared" si="14"/>
        <v/>
      </c>
      <c r="AD47" s="112" t="str">
        <f t="shared" si="15"/>
        <v/>
      </c>
      <c r="AG47" s="117" t="s">
        <v>2707</v>
      </c>
    </row>
    <row r="48" spans="1:33" x14ac:dyDescent="0.2">
      <c r="A48" s="112" t="str">
        <f>IF(SUM(Q48:R48)=1,1+MAX($A$1:A47),"")</f>
        <v/>
      </c>
      <c r="B48" s="112" t="str">
        <f>IF(SUM(X48:Y48)=1,1+MAX($B$1:B47),"")</f>
        <v/>
      </c>
      <c r="C48" s="112" t="str">
        <f>IF(SUM(Q48:R48,X48:Y48)=2,1+MAX($C$1:C47),"")</f>
        <v/>
      </c>
      <c r="D48" s="113">
        <v>41808</v>
      </c>
      <c r="E48" s="112">
        <v>2014</v>
      </c>
      <c r="F48" s="112" t="s">
        <v>2689</v>
      </c>
      <c r="G48" s="112" t="s">
        <v>2690</v>
      </c>
      <c r="H48" s="114" t="s">
        <v>2693</v>
      </c>
      <c r="I48" s="112">
        <f t="shared" si="0"/>
        <v>0</v>
      </c>
      <c r="J48" s="112">
        <f t="shared" si="1"/>
        <v>4</v>
      </c>
      <c r="K48" s="115" t="s">
        <v>1024</v>
      </c>
      <c r="L48" s="115" t="s">
        <v>2670</v>
      </c>
      <c r="M48" s="115" t="s">
        <v>2647</v>
      </c>
      <c r="N48" s="115">
        <v>39982</v>
      </c>
      <c r="O48" s="112">
        <v>1</v>
      </c>
      <c r="P48" s="116" t="s">
        <v>2708</v>
      </c>
      <c r="Q48" s="112" t="str">
        <f t="shared" si="2"/>
        <v/>
      </c>
      <c r="R48" s="112" t="str">
        <f t="shared" si="3"/>
        <v/>
      </c>
      <c r="S48" s="112" t="str">
        <f t="shared" si="6"/>
        <v/>
      </c>
      <c r="T48" s="112" t="str">
        <f t="shared" si="7"/>
        <v/>
      </c>
      <c r="U48" s="112" t="str">
        <f t="shared" si="8"/>
        <v/>
      </c>
      <c r="V48" s="112" t="str">
        <f t="shared" si="9"/>
        <v/>
      </c>
      <c r="W48" s="112" t="str">
        <f t="shared" si="10"/>
        <v/>
      </c>
      <c r="X48" s="112" t="str">
        <f t="shared" si="4"/>
        <v/>
      </c>
      <c r="Y48" s="112" t="str">
        <f t="shared" si="5"/>
        <v/>
      </c>
      <c r="Z48" s="112" t="str">
        <f t="shared" si="11"/>
        <v/>
      </c>
      <c r="AA48" s="112" t="str">
        <f t="shared" si="12"/>
        <v/>
      </c>
      <c r="AB48" s="112" t="str">
        <f t="shared" si="13"/>
        <v/>
      </c>
      <c r="AC48" s="112" t="str">
        <f t="shared" si="14"/>
        <v/>
      </c>
      <c r="AD48" s="112" t="str">
        <f t="shared" si="15"/>
        <v/>
      </c>
      <c r="AG48" s="117" t="s">
        <v>2709</v>
      </c>
    </row>
    <row r="49" spans="1:33" x14ac:dyDescent="0.2">
      <c r="A49" s="112" t="str">
        <f>IF(SUM(Q49:R49)=1,1+MAX($A$1:A48),"")</f>
        <v/>
      </c>
      <c r="B49" s="112" t="str">
        <f>IF(SUM(X49:Y49)=1,1+MAX($B$1:B48),"")</f>
        <v/>
      </c>
      <c r="C49" s="112" t="str">
        <f>IF(SUM(Q49:R49,X49:Y49)=2,1+MAX($C$1:C48),"")</f>
        <v/>
      </c>
      <c r="D49" s="113">
        <v>41807</v>
      </c>
      <c r="E49" s="112">
        <v>2014</v>
      </c>
      <c r="F49" s="112" t="s">
        <v>2652</v>
      </c>
      <c r="G49" s="112" t="s">
        <v>2653</v>
      </c>
      <c r="H49" s="114" t="s">
        <v>2635</v>
      </c>
      <c r="I49" s="112">
        <f t="shared" si="0"/>
        <v>1</v>
      </c>
      <c r="J49" s="112">
        <f t="shared" si="1"/>
        <v>2</v>
      </c>
      <c r="K49" s="115" t="s">
        <v>2554</v>
      </c>
      <c r="L49" s="115" t="s">
        <v>2615</v>
      </c>
      <c r="M49" s="115" t="s">
        <v>2616</v>
      </c>
      <c r="N49" s="115">
        <v>56800</v>
      </c>
      <c r="O49" s="112">
        <v>1</v>
      </c>
      <c r="P49" s="116" t="s">
        <v>2638</v>
      </c>
      <c r="Q49" s="112" t="str">
        <f t="shared" si="2"/>
        <v/>
      </c>
      <c r="R49" s="112" t="str">
        <f t="shared" si="3"/>
        <v/>
      </c>
      <c r="S49" s="112" t="str">
        <f t="shared" si="6"/>
        <v/>
      </c>
      <c r="T49" s="112" t="str">
        <f t="shared" si="7"/>
        <v/>
      </c>
      <c r="U49" s="112" t="str">
        <f t="shared" si="8"/>
        <v/>
      </c>
      <c r="V49" s="112" t="str">
        <f t="shared" si="9"/>
        <v/>
      </c>
      <c r="W49" s="112" t="str">
        <f t="shared" si="10"/>
        <v/>
      </c>
      <c r="X49" s="112" t="str">
        <f t="shared" si="4"/>
        <v/>
      </c>
      <c r="Y49" s="112" t="str">
        <f t="shared" si="5"/>
        <v/>
      </c>
      <c r="Z49" s="112" t="str">
        <f t="shared" si="11"/>
        <v/>
      </c>
      <c r="AA49" s="112" t="str">
        <f t="shared" si="12"/>
        <v/>
      </c>
      <c r="AB49" s="112" t="str">
        <f t="shared" si="13"/>
        <v/>
      </c>
      <c r="AC49" s="112" t="str">
        <f t="shared" si="14"/>
        <v/>
      </c>
      <c r="AD49" s="112" t="str">
        <f t="shared" si="15"/>
        <v/>
      </c>
      <c r="AG49" s="117" t="s">
        <v>2134</v>
      </c>
    </row>
    <row r="50" spans="1:33" x14ac:dyDescent="0.2">
      <c r="A50" s="112" t="str">
        <f>IF(SUM(Q50:R50)=1,1+MAX($A$1:A49),"")</f>
        <v/>
      </c>
      <c r="B50" s="112" t="str">
        <f>IF(SUM(X50:Y50)=1,1+MAX($B$1:B49),"")</f>
        <v/>
      </c>
      <c r="C50" s="112" t="str">
        <f>IF(SUM(Q50:R50,X50:Y50)=2,1+MAX($C$1:C49),"")</f>
        <v/>
      </c>
      <c r="D50" s="113">
        <v>41807</v>
      </c>
      <c r="E50" s="112">
        <v>2014</v>
      </c>
      <c r="F50" s="112" t="s">
        <v>2689</v>
      </c>
      <c r="G50" s="112" t="s">
        <v>2690</v>
      </c>
      <c r="H50" s="114" t="s">
        <v>1442</v>
      </c>
      <c r="I50" s="112">
        <f t="shared" si="0"/>
        <v>0</v>
      </c>
      <c r="J50" s="112">
        <f t="shared" si="1"/>
        <v>0</v>
      </c>
      <c r="K50" s="115" t="s">
        <v>1061</v>
      </c>
      <c r="L50" s="115" t="s">
        <v>2624</v>
      </c>
      <c r="M50" s="115" t="s">
        <v>2612</v>
      </c>
      <c r="N50" s="115">
        <v>60342</v>
      </c>
      <c r="O50" s="112">
        <v>1</v>
      </c>
      <c r="P50" s="116" t="s">
        <v>2613</v>
      </c>
      <c r="Q50" s="112" t="str">
        <f t="shared" si="2"/>
        <v/>
      </c>
      <c r="R50" s="112" t="str">
        <f t="shared" si="3"/>
        <v/>
      </c>
      <c r="S50" s="112" t="str">
        <f t="shared" si="6"/>
        <v/>
      </c>
      <c r="T50" s="112" t="str">
        <f t="shared" si="7"/>
        <v/>
      </c>
      <c r="U50" s="112" t="str">
        <f t="shared" si="8"/>
        <v/>
      </c>
      <c r="V50" s="112" t="str">
        <f t="shared" si="9"/>
        <v/>
      </c>
      <c r="W50" s="112" t="str">
        <f t="shared" si="10"/>
        <v/>
      </c>
      <c r="X50" s="112" t="str">
        <f t="shared" si="4"/>
        <v/>
      </c>
      <c r="Y50" s="112" t="str">
        <f t="shared" si="5"/>
        <v/>
      </c>
      <c r="Z50" s="112" t="str">
        <f t="shared" si="11"/>
        <v/>
      </c>
      <c r="AA50" s="112" t="str">
        <f t="shared" si="12"/>
        <v/>
      </c>
      <c r="AB50" s="112" t="str">
        <f t="shared" si="13"/>
        <v/>
      </c>
      <c r="AC50" s="112" t="str">
        <f t="shared" si="14"/>
        <v/>
      </c>
      <c r="AD50" s="112" t="str">
        <f t="shared" si="15"/>
        <v/>
      </c>
      <c r="AG50" s="117" t="s">
        <v>2544</v>
      </c>
    </row>
    <row r="51" spans="1:33" x14ac:dyDescent="0.2">
      <c r="A51" s="112" t="str">
        <f>IF(SUM(Q51:R51)=1,1+MAX($A$1:A50),"")</f>
        <v/>
      </c>
      <c r="B51" s="112" t="str">
        <f>IF(SUM(X51:Y51)=1,1+MAX($B$1:B50),"")</f>
        <v/>
      </c>
      <c r="C51" s="112" t="str">
        <f>IF(SUM(Q51:R51,X51:Y51)=2,1+MAX($C$1:C50),"")</f>
        <v/>
      </c>
      <c r="D51" s="113">
        <v>41807</v>
      </c>
      <c r="E51" s="112">
        <v>2014</v>
      </c>
      <c r="F51" s="112" t="s">
        <v>2652</v>
      </c>
      <c r="G51" s="112" t="s">
        <v>2653</v>
      </c>
      <c r="H51" s="114" t="s">
        <v>2546</v>
      </c>
      <c r="I51" s="112">
        <f t="shared" si="0"/>
        <v>1</v>
      </c>
      <c r="J51" s="112">
        <f t="shared" si="1"/>
        <v>1</v>
      </c>
      <c r="K51" s="115" t="s">
        <v>2543</v>
      </c>
      <c r="L51" s="115" t="s">
        <v>2682</v>
      </c>
      <c r="M51" s="115" t="s">
        <v>2628</v>
      </c>
      <c r="N51" s="115">
        <v>37603</v>
      </c>
      <c r="O51" s="112">
        <v>1</v>
      </c>
      <c r="P51" s="116" t="s">
        <v>2645</v>
      </c>
      <c r="Q51" s="112" t="str">
        <f t="shared" si="2"/>
        <v/>
      </c>
      <c r="R51" s="112" t="str">
        <f t="shared" si="3"/>
        <v/>
      </c>
      <c r="S51" s="112" t="str">
        <f t="shared" si="6"/>
        <v/>
      </c>
      <c r="T51" s="112" t="str">
        <f t="shared" si="7"/>
        <v/>
      </c>
      <c r="U51" s="112" t="str">
        <f t="shared" si="8"/>
        <v/>
      </c>
      <c r="V51" s="112" t="str">
        <f t="shared" si="9"/>
        <v/>
      </c>
      <c r="W51" s="112" t="str">
        <f t="shared" si="10"/>
        <v/>
      </c>
      <c r="X51" s="112" t="str">
        <f t="shared" si="4"/>
        <v/>
      </c>
      <c r="Y51" s="112" t="str">
        <f t="shared" si="5"/>
        <v/>
      </c>
      <c r="Z51" s="112" t="str">
        <f t="shared" si="11"/>
        <v/>
      </c>
      <c r="AA51" s="112" t="str">
        <f t="shared" si="12"/>
        <v/>
      </c>
      <c r="AB51" s="112" t="str">
        <f t="shared" si="13"/>
        <v/>
      </c>
      <c r="AC51" s="112" t="str">
        <f t="shared" si="14"/>
        <v/>
      </c>
      <c r="AD51" s="112" t="str">
        <f t="shared" si="15"/>
        <v/>
      </c>
      <c r="AG51" s="117" t="s">
        <v>2556</v>
      </c>
    </row>
    <row r="52" spans="1:33" x14ac:dyDescent="0.2">
      <c r="A52" s="112" t="str">
        <f>IF(SUM(Q52:R52)=1,1+MAX($A$1:A51),"")</f>
        <v/>
      </c>
      <c r="B52" s="112" t="str">
        <f>IF(SUM(X52:Y52)=1,1+MAX($B$1:B51),"")</f>
        <v/>
      </c>
      <c r="C52" s="112" t="str">
        <f>IF(SUM(Q52:R52,X52:Y52)=2,1+MAX($C$1:C51),"")</f>
        <v/>
      </c>
      <c r="D52" s="113">
        <v>41806</v>
      </c>
      <c r="E52" s="112">
        <v>2014</v>
      </c>
      <c r="F52" s="112" t="s">
        <v>2656</v>
      </c>
      <c r="G52" s="112" t="s">
        <v>2657</v>
      </c>
      <c r="H52" s="114" t="s">
        <v>2658</v>
      </c>
      <c r="I52" s="112">
        <f t="shared" si="0"/>
        <v>1</v>
      </c>
      <c r="J52" s="112">
        <f t="shared" si="1"/>
        <v>2</v>
      </c>
      <c r="K52" s="115" t="s">
        <v>2614</v>
      </c>
      <c r="L52" s="115" t="s">
        <v>2675</v>
      </c>
      <c r="M52" s="115" t="s">
        <v>2633</v>
      </c>
      <c r="N52" s="115">
        <v>39760</v>
      </c>
      <c r="O52" s="112">
        <v>1</v>
      </c>
      <c r="P52" s="116" t="s">
        <v>2638</v>
      </c>
      <c r="Q52" s="112" t="str">
        <f t="shared" si="2"/>
        <v/>
      </c>
      <c r="R52" s="112" t="str">
        <f t="shared" si="3"/>
        <v/>
      </c>
      <c r="S52" s="112" t="str">
        <f t="shared" si="6"/>
        <v/>
      </c>
      <c r="T52" s="112" t="str">
        <f t="shared" si="7"/>
        <v/>
      </c>
      <c r="U52" s="112" t="str">
        <f t="shared" si="8"/>
        <v/>
      </c>
      <c r="V52" s="112" t="str">
        <f t="shared" si="9"/>
        <v/>
      </c>
      <c r="W52" s="112" t="str">
        <f t="shared" si="10"/>
        <v/>
      </c>
      <c r="X52" s="112" t="str">
        <f t="shared" si="4"/>
        <v/>
      </c>
      <c r="Y52" s="112" t="str">
        <f t="shared" si="5"/>
        <v/>
      </c>
      <c r="Z52" s="112" t="str">
        <f t="shared" si="11"/>
        <v/>
      </c>
      <c r="AA52" s="112" t="str">
        <f t="shared" si="12"/>
        <v/>
      </c>
      <c r="AB52" s="112" t="str">
        <f t="shared" si="13"/>
        <v/>
      </c>
      <c r="AC52" s="112" t="str">
        <f t="shared" si="14"/>
        <v/>
      </c>
      <c r="AD52" s="112" t="str">
        <f t="shared" si="15"/>
        <v/>
      </c>
      <c r="AG52" s="117" t="s">
        <v>2546</v>
      </c>
    </row>
    <row r="53" spans="1:33" x14ac:dyDescent="0.2">
      <c r="A53" s="112" t="str">
        <f>IF(SUM(Q53:R53)=1,1+MAX($A$1:A52),"")</f>
        <v/>
      </c>
      <c r="B53" s="112" t="str">
        <f>IF(SUM(X53:Y53)=1,1+MAX($B$1:B52),"")</f>
        <v/>
      </c>
      <c r="C53" s="112" t="str">
        <f>IF(SUM(Q53:R53,X53:Y53)=2,1+MAX($C$1:C52),"")</f>
        <v/>
      </c>
      <c r="D53" s="113">
        <v>41806</v>
      </c>
      <c r="E53" s="112">
        <v>2014</v>
      </c>
      <c r="F53" s="112" t="s">
        <v>2656</v>
      </c>
      <c r="G53" s="112" t="s">
        <v>2657</v>
      </c>
      <c r="H53" s="114" t="s">
        <v>2547</v>
      </c>
      <c r="I53" s="112">
        <f t="shared" si="0"/>
        <v>4</v>
      </c>
      <c r="J53" s="112">
        <f t="shared" si="1"/>
        <v>0</v>
      </c>
      <c r="K53" s="115" t="s">
        <v>2556</v>
      </c>
      <c r="L53" s="115" t="s">
        <v>2620</v>
      </c>
      <c r="M53" s="115" t="s">
        <v>2701</v>
      </c>
      <c r="N53" s="115">
        <v>51081</v>
      </c>
      <c r="O53" s="112">
        <v>1</v>
      </c>
      <c r="P53" s="116" t="s">
        <v>2710</v>
      </c>
      <c r="Q53" s="112" t="str">
        <f t="shared" si="2"/>
        <v/>
      </c>
      <c r="R53" s="112" t="str">
        <f t="shared" si="3"/>
        <v/>
      </c>
      <c r="S53" s="112" t="str">
        <f t="shared" si="6"/>
        <v/>
      </c>
      <c r="T53" s="112" t="str">
        <f t="shared" si="7"/>
        <v/>
      </c>
      <c r="U53" s="112" t="str">
        <f t="shared" si="8"/>
        <v/>
      </c>
      <c r="V53" s="112" t="str">
        <f t="shared" si="9"/>
        <v/>
      </c>
      <c r="W53" s="112" t="str">
        <f t="shared" si="10"/>
        <v/>
      </c>
      <c r="X53" s="112" t="str">
        <f t="shared" si="4"/>
        <v/>
      </c>
      <c r="Y53" s="112" t="str">
        <f t="shared" si="5"/>
        <v/>
      </c>
      <c r="Z53" s="112" t="str">
        <f t="shared" si="11"/>
        <v/>
      </c>
      <c r="AA53" s="112" t="str">
        <f t="shared" si="12"/>
        <v/>
      </c>
      <c r="AB53" s="112" t="str">
        <f t="shared" si="13"/>
        <v/>
      </c>
      <c r="AC53" s="112" t="str">
        <f t="shared" si="14"/>
        <v/>
      </c>
      <c r="AD53" s="112" t="str">
        <f t="shared" si="15"/>
        <v/>
      </c>
      <c r="AG53" s="117" t="s">
        <v>2711</v>
      </c>
    </row>
    <row r="54" spans="1:33" x14ac:dyDescent="0.2">
      <c r="A54" s="112" t="str">
        <f>IF(SUM(Q54:R54)=1,1+MAX($A$1:A53),"")</f>
        <v/>
      </c>
      <c r="B54" s="112" t="str">
        <f>IF(SUM(X54:Y54)=1,1+MAX($B$1:B53),"")</f>
        <v/>
      </c>
      <c r="C54" s="112" t="str">
        <f>IF(SUM(Q54:R54,X54:Y54)=2,1+MAX($C$1:C53),"")</f>
        <v/>
      </c>
      <c r="D54" s="113">
        <v>41806</v>
      </c>
      <c r="E54" s="112">
        <v>2014</v>
      </c>
      <c r="F54" s="112" t="s">
        <v>2661</v>
      </c>
      <c r="G54" s="112" t="s">
        <v>2662</v>
      </c>
      <c r="H54" s="114" t="s">
        <v>2553</v>
      </c>
      <c r="I54" s="112">
        <f t="shared" si="0"/>
        <v>0</v>
      </c>
      <c r="J54" s="112">
        <f t="shared" si="1"/>
        <v>0</v>
      </c>
      <c r="K54" s="115" t="s">
        <v>2542</v>
      </c>
      <c r="L54" s="115" t="s">
        <v>2654</v>
      </c>
      <c r="M54" s="115" t="s">
        <v>2680</v>
      </c>
      <c r="N54" s="115">
        <v>39081</v>
      </c>
      <c r="O54" s="112">
        <v>1</v>
      </c>
      <c r="P54" s="116" t="s">
        <v>2613</v>
      </c>
      <c r="Q54" s="112" t="str">
        <f t="shared" si="2"/>
        <v/>
      </c>
      <c r="R54" s="112" t="str">
        <f t="shared" si="3"/>
        <v/>
      </c>
      <c r="S54" s="112" t="str">
        <f t="shared" si="6"/>
        <v/>
      </c>
      <c r="T54" s="112" t="str">
        <f t="shared" si="7"/>
        <v/>
      </c>
      <c r="U54" s="112" t="str">
        <f t="shared" si="8"/>
        <v/>
      </c>
      <c r="V54" s="112" t="str">
        <f t="shared" si="9"/>
        <v/>
      </c>
      <c r="W54" s="112" t="str">
        <f t="shared" si="10"/>
        <v/>
      </c>
      <c r="X54" s="112" t="str">
        <f t="shared" si="4"/>
        <v/>
      </c>
      <c r="Y54" s="112" t="str">
        <f t="shared" si="5"/>
        <v/>
      </c>
      <c r="Z54" s="112" t="str">
        <f t="shared" si="11"/>
        <v/>
      </c>
      <c r="AA54" s="112" t="str">
        <f t="shared" si="12"/>
        <v/>
      </c>
      <c r="AB54" s="112" t="str">
        <f t="shared" si="13"/>
        <v/>
      </c>
      <c r="AC54" s="112" t="str">
        <f t="shared" si="14"/>
        <v/>
      </c>
      <c r="AD54" s="112" t="str">
        <f t="shared" si="15"/>
        <v/>
      </c>
      <c r="AG54" s="117" t="s">
        <v>2712</v>
      </c>
    </row>
    <row r="55" spans="1:33" x14ac:dyDescent="0.2">
      <c r="A55" s="112" t="str">
        <f>IF(SUM(Q55:R55)=1,1+MAX($A$1:A54),"")</f>
        <v/>
      </c>
      <c r="B55" s="112">
        <f>IF(SUM(X55:Y55)=1,1+MAX($B$1:B54),"")</f>
        <v>7</v>
      </c>
      <c r="C55" s="112" t="str">
        <f>IF(SUM(Q55:R55,X55:Y55)=2,1+MAX($C$1:C54),"")</f>
        <v/>
      </c>
      <c r="D55" s="113">
        <v>41805</v>
      </c>
      <c r="E55" s="112">
        <v>2014</v>
      </c>
      <c r="F55" s="112" t="s">
        <v>2661</v>
      </c>
      <c r="G55" s="112" t="s">
        <v>2662</v>
      </c>
      <c r="H55" s="114" t="s">
        <v>1134</v>
      </c>
      <c r="I55" s="112">
        <f t="shared" si="0"/>
        <v>2</v>
      </c>
      <c r="J55" s="112">
        <f t="shared" si="1"/>
        <v>1</v>
      </c>
      <c r="K55" s="115" t="s">
        <v>2639</v>
      </c>
      <c r="L55" s="115" t="s">
        <v>2599</v>
      </c>
      <c r="M55" s="115" t="s">
        <v>2705</v>
      </c>
      <c r="N55" s="115">
        <v>74738</v>
      </c>
      <c r="O55" s="112">
        <v>1</v>
      </c>
      <c r="P55" s="116" t="s">
        <v>2626</v>
      </c>
      <c r="Q55" s="112" t="str">
        <f t="shared" si="2"/>
        <v/>
      </c>
      <c r="R55" s="112" t="str">
        <f t="shared" si="3"/>
        <v/>
      </c>
      <c r="S55" s="112" t="str">
        <f t="shared" si="6"/>
        <v/>
      </c>
      <c r="T55" s="112" t="str">
        <f t="shared" si="7"/>
        <v/>
      </c>
      <c r="U55" s="112" t="str">
        <f t="shared" si="8"/>
        <v/>
      </c>
      <c r="V55" s="112" t="str">
        <f t="shared" si="9"/>
        <v/>
      </c>
      <c r="W55" s="112" t="str">
        <f t="shared" si="10"/>
        <v/>
      </c>
      <c r="X55" s="112">
        <f t="shared" si="4"/>
        <v>1</v>
      </c>
      <c r="Y55" s="112" t="str">
        <f t="shared" si="5"/>
        <v/>
      </c>
      <c r="Z55" s="112">
        <f t="shared" si="11"/>
        <v>1</v>
      </c>
      <c r="AA55" s="112">
        <f t="shared" si="12"/>
        <v>0</v>
      </c>
      <c r="AB55" s="112">
        <f t="shared" si="13"/>
        <v>0</v>
      </c>
      <c r="AC55" s="112">
        <f t="shared" si="14"/>
        <v>3</v>
      </c>
      <c r="AD55" s="112">
        <f t="shared" si="15"/>
        <v>1</v>
      </c>
      <c r="AG55" s="117" t="s">
        <v>2559</v>
      </c>
    </row>
    <row r="56" spans="1:33" x14ac:dyDescent="0.2">
      <c r="A56" s="112" t="str">
        <f>IF(SUM(Q56:R56)=1,1+MAX($A$1:A55),"")</f>
        <v/>
      </c>
      <c r="B56" s="112" t="str">
        <f>IF(SUM(X56:Y56)=1,1+MAX($B$1:B55),"")</f>
        <v/>
      </c>
      <c r="C56" s="112" t="str">
        <f>IF(SUM(Q56:R56,X56:Y56)=2,1+MAX($C$1:C55),"")</f>
        <v/>
      </c>
      <c r="D56" s="113">
        <v>41805</v>
      </c>
      <c r="E56" s="112">
        <v>2014</v>
      </c>
      <c r="F56" s="112" t="s">
        <v>2666</v>
      </c>
      <c r="G56" s="112" t="s">
        <v>2667</v>
      </c>
      <c r="H56" s="114" t="s">
        <v>2541</v>
      </c>
      <c r="I56" s="112">
        <f t="shared" si="0"/>
        <v>3</v>
      </c>
      <c r="J56" s="112">
        <f t="shared" si="1"/>
        <v>0</v>
      </c>
      <c r="K56" s="115" t="s">
        <v>2669</v>
      </c>
      <c r="L56" s="115" t="s">
        <v>2636</v>
      </c>
      <c r="M56" s="115" t="s">
        <v>2637</v>
      </c>
      <c r="N56" s="115">
        <v>43012</v>
      </c>
      <c r="O56" s="112">
        <v>1</v>
      </c>
      <c r="P56" s="116" t="s">
        <v>2713</v>
      </c>
      <c r="Q56" s="112" t="str">
        <f t="shared" si="2"/>
        <v/>
      </c>
      <c r="R56" s="112" t="str">
        <f t="shared" si="3"/>
        <v/>
      </c>
      <c r="S56" s="112" t="str">
        <f t="shared" si="6"/>
        <v/>
      </c>
      <c r="T56" s="112" t="str">
        <f t="shared" si="7"/>
        <v/>
      </c>
      <c r="U56" s="112" t="str">
        <f t="shared" si="8"/>
        <v/>
      </c>
      <c r="V56" s="112" t="str">
        <f t="shared" si="9"/>
        <v/>
      </c>
      <c r="W56" s="112" t="str">
        <f t="shared" si="10"/>
        <v/>
      </c>
      <c r="X56" s="112" t="str">
        <f t="shared" si="4"/>
        <v/>
      </c>
      <c r="Y56" s="112" t="str">
        <f t="shared" si="5"/>
        <v/>
      </c>
      <c r="Z56" s="112" t="str">
        <f t="shared" si="11"/>
        <v/>
      </c>
      <c r="AA56" s="112" t="str">
        <f t="shared" si="12"/>
        <v/>
      </c>
      <c r="AB56" s="112" t="str">
        <f t="shared" si="13"/>
        <v/>
      </c>
      <c r="AC56" s="112" t="str">
        <f t="shared" si="14"/>
        <v/>
      </c>
      <c r="AD56" s="112" t="str">
        <f t="shared" si="15"/>
        <v/>
      </c>
      <c r="AG56" s="117" t="s">
        <v>2142</v>
      </c>
    </row>
    <row r="57" spans="1:33" x14ac:dyDescent="0.2">
      <c r="A57" s="112" t="str">
        <f>IF(SUM(Q57:R57)=1,1+MAX($A$1:A56),"")</f>
        <v/>
      </c>
      <c r="B57" s="112" t="str">
        <f>IF(SUM(X57:Y57)=1,1+MAX($B$1:B56),"")</f>
        <v/>
      </c>
      <c r="C57" s="112" t="str">
        <f>IF(SUM(Q57:R57,X57:Y57)=2,1+MAX($C$1:C56),"")</f>
        <v/>
      </c>
      <c r="D57" s="113">
        <v>41805</v>
      </c>
      <c r="E57" s="112">
        <v>2014</v>
      </c>
      <c r="F57" s="112" t="s">
        <v>2666</v>
      </c>
      <c r="G57" s="112" t="s">
        <v>2667</v>
      </c>
      <c r="H57" s="114" t="s">
        <v>2655</v>
      </c>
      <c r="I57" s="112">
        <f t="shared" si="0"/>
        <v>1</v>
      </c>
      <c r="J57" s="112">
        <f t="shared" si="1"/>
        <v>2</v>
      </c>
      <c r="K57" s="115" t="s">
        <v>2558</v>
      </c>
      <c r="L57" s="115" t="s">
        <v>2605</v>
      </c>
      <c r="M57" s="115" t="s">
        <v>2621</v>
      </c>
      <c r="N57" s="115">
        <v>68351</v>
      </c>
      <c r="O57" s="112">
        <v>1</v>
      </c>
      <c r="P57" s="116" t="s">
        <v>2638</v>
      </c>
      <c r="Q57" s="112" t="str">
        <f t="shared" si="2"/>
        <v/>
      </c>
      <c r="R57" s="112" t="str">
        <f t="shared" si="3"/>
        <v/>
      </c>
      <c r="S57" s="112" t="str">
        <f t="shared" si="6"/>
        <v/>
      </c>
      <c r="T57" s="112" t="str">
        <f t="shared" si="7"/>
        <v/>
      </c>
      <c r="U57" s="112" t="str">
        <f t="shared" si="8"/>
        <v/>
      </c>
      <c r="V57" s="112" t="str">
        <f t="shared" si="9"/>
        <v/>
      </c>
      <c r="W57" s="112" t="str">
        <f t="shared" si="10"/>
        <v/>
      </c>
      <c r="X57" s="112" t="str">
        <f t="shared" si="4"/>
        <v/>
      </c>
      <c r="Y57" s="112" t="str">
        <f t="shared" si="5"/>
        <v/>
      </c>
      <c r="Z57" s="112" t="str">
        <f t="shared" si="11"/>
        <v/>
      </c>
      <c r="AA57" s="112" t="str">
        <f t="shared" si="12"/>
        <v/>
      </c>
      <c r="AB57" s="112" t="str">
        <f t="shared" si="13"/>
        <v/>
      </c>
      <c r="AC57" s="112" t="str">
        <f t="shared" si="14"/>
        <v/>
      </c>
      <c r="AD57" s="112" t="str">
        <f t="shared" si="15"/>
        <v/>
      </c>
      <c r="AG57" s="117" t="s">
        <v>2714</v>
      </c>
    </row>
    <row r="58" spans="1:33" x14ac:dyDescent="0.2">
      <c r="A58" s="112" t="str">
        <f>IF(SUM(Q58:R58)=1,1+MAX($A$1:A57),"")</f>
        <v/>
      </c>
      <c r="B58" s="112" t="str">
        <f>IF(SUM(X58:Y58)=1,1+MAX($B$1:B57),"")</f>
        <v/>
      </c>
      <c r="C58" s="112" t="str">
        <f>IF(SUM(Q58:R58,X58:Y58)=2,1+MAX($C$1:C57),"")</f>
        <v/>
      </c>
      <c r="D58" s="113">
        <v>41804</v>
      </c>
      <c r="E58" s="112">
        <v>2014</v>
      </c>
      <c r="F58" s="112" t="s">
        <v>2677</v>
      </c>
      <c r="G58" s="112" t="s">
        <v>2678</v>
      </c>
      <c r="H58" s="114" t="s">
        <v>1347</v>
      </c>
      <c r="I58" s="112">
        <f t="shared" si="0"/>
        <v>3</v>
      </c>
      <c r="J58" s="112">
        <f t="shared" si="1"/>
        <v>0</v>
      </c>
      <c r="K58" s="115" t="s">
        <v>2642</v>
      </c>
      <c r="L58" s="115" t="s">
        <v>2615</v>
      </c>
      <c r="M58" s="115" t="s">
        <v>2640</v>
      </c>
      <c r="N58" s="115">
        <v>57174</v>
      </c>
      <c r="O58" s="112">
        <v>1</v>
      </c>
      <c r="P58" s="116" t="s">
        <v>2713</v>
      </c>
      <c r="Q58" s="112" t="str">
        <f t="shared" si="2"/>
        <v/>
      </c>
      <c r="R58" s="112" t="str">
        <f t="shared" si="3"/>
        <v/>
      </c>
      <c r="S58" s="112" t="str">
        <f t="shared" si="6"/>
        <v/>
      </c>
      <c r="T58" s="112" t="str">
        <f t="shared" si="7"/>
        <v/>
      </c>
      <c r="U58" s="112" t="str">
        <f t="shared" si="8"/>
        <v/>
      </c>
      <c r="V58" s="112" t="str">
        <f t="shared" si="9"/>
        <v/>
      </c>
      <c r="W58" s="112" t="str">
        <f t="shared" si="10"/>
        <v/>
      </c>
      <c r="X58" s="112" t="str">
        <f t="shared" si="4"/>
        <v/>
      </c>
      <c r="Y58" s="112" t="str">
        <f t="shared" si="5"/>
        <v/>
      </c>
      <c r="Z58" s="112" t="str">
        <f t="shared" si="11"/>
        <v/>
      </c>
      <c r="AA58" s="112" t="str">
        <f t="shared" si="12"/>
        <v/>
      </c>
      <c r="AB58" s="112" t="str">
        <f t="shared" si="13"/>
        <v/>
      </c>
      <c r="AC58" s="112" t="str">
        <f t="shared" si="14"/>
        <v/>
      </c>
      <c r="AD58" s="112" t="str">
        <f t="shared" si="15"/>
        <v/>
      </c>
      <c r="AG58" s="117" t="s">
        <v>2715</v>
      </c>
    </row>
    <row r="59" spans="1:33" x14ac:dyDescent="0.2">
      <c r="A59" s="112" t="str">
        <f>IF(SUM(Q59:R59)=1,1+MAX($A$1:A58),"")</f>
        <v/>
      </c>
      <c r="B59" s="112" t="str">
        <f>IF(SUM(X59:Y59)=1,1+MAX($B$1:B58),"")</f>
        <v/>
      </c>
      <c r="C59" s="112" t="str">
        <f>IF(SUM(Q59:R59,X59:Y59)=2,1+MAX($C$1:C58),"")</f>
        <v/>
      </c>
      <c r="D59" s="113">
        <v>41804</v>
      </c>
      <c r="E59" s="112">
        <v>2014</v>
      </c>
      <c r="F59" s="112" t="s">
        <v>2677</v>
      </c>
      <c r="G59" s="112" t="s">
        <v>2678</v>
      </c>
      <c r="H59" s="114" t="s">
        <v>2679</v>
      </c>
      <c r="I59" s="112">
        <f t="shared" si="0"/>
        <v>2</v>
      </c>
      <c r="J59" s="112">
        <f t="shared" si="1"/>
        <v>1</v>
      </c>
      <c r="K59" s="115" t="s">
        <v>1395</v>
      </c>
      <c r="N59" s="115">
        <v>40267</v>
      </c>
      <c r="O59" s="112">
        <v>1</v>
      </c>
      <c r="P59" s="116" t="s">
        <v>2626</v>
      </c>
      <c r="Q59" s="112" t="str">
        <f t="shared" si="2"/>
        <v/>
      </c>
      <c r="R59" s="112" t="str">
        <f t="shared" si="3"/>
        <v/>
      </c>
      <c r="S59" s="112" t="str">
        <f t="shared" si="6"/>
        <v/>
      </c>
      <c r="T59" s="112" t="str">
        <f t="shared" si="7"/>
        <v/>
      </c>
      <c r="U59" s="112" t="str">
        <f t="shared" si="8"/>
        <v/>
      </c>
      <c r="V59" s="112" t="str">
        <f t="shared" si="9"/>
        <v/>
      </c>
      <c r="W59" s="112" t="str">
        <f t="shared" si="10"/>
        <v/>
      </c>
      <c r="X59" s="112" t="str">
        <f t="shared" si="4"/>
        <v/>
      </c>
      <c r="Y59" s="112" t="str">
        <f t="shared" si="5"/>
        <v/>
      </c>
      <c r="Z59" s="112" t="str">
        <f t="shared" si="11"/>
        <v/>
      </c>
      <c r="AA59" s="112" t="str">
        <f t="shared" si="12"/>
        <v/>
      </c>
      <c r="AB59" s="112" t="str">
        <f t="shared" si="13"/>
        <v/>
      </c>
      <c r="AC59" s="112" t="str">
        <f t="shared" si="14"/>
        <v/>
      </c>
      <c r="AD59" s="112" t="str">
        <f t="shared" si="15"/>
        <v/>
      </c>
      <c r="AG59" s="117" t="s">
        <v>2716</v>
      </c>
    </row>
    <row r="60" spans="1:33" x14ac:dyDescent="0.2">
      <c r="A60" s="112" t="str">
        <f>IF(SUM(Q60:R60)=1,1+MAX($A$1:A59),"")</f>
        <v/>
      </c>
      <c r="B60" s="112" t="str">
        <f>IF(SUM(X60:Y60)=1,1+MAX($B$1:B59),"")</f>
        <v/>
      </c>
      <c r="C60" s="112" t="str">
        <f>IF(SUM(Q60:R60,X60:Y60)=2,1+MAX($C$1:C59),"")</f>
        <v/>
      </c>
      <c r="D60" s="113">
        <v>41804</v>
      </c>
      <c r="E60" s="112">
        <v>2014</v>
      </c>
      <c r="F60" s="112" t="s">
        <v>2672</v>
      </c>
      <c r="G60" s="112" t="s">
        <v>2673</v>
      </c>
      <c r="H60" s="114" t="s">
        <v>2550</v>
      </c>
      <c r="I60" s="112">
        <f t="shared" si="0"/>
        <v>3</v>
      </c>
      <c r="J60" s="112">
        <f t="shared" si="1"/>
        <v>1</v>
      </c>
      <c r="K60" s="115" t="s">
        <v>2540</v>
      </c>
      <c r="L60" s="115" t="s">
        <v>2624</v>
      </c>
      <c r="M60" s="115" t="s">
        <v>2696</v>
      </c>
      <c r="N60" s="115">
        <v>58679</v>
      </c>
      <c r="O60" s="112">
        <v>1</v>
      </c>
      <c r="P60" s="116" t="s">
        <v>2663</v>
      </c>
      <c r="Q60" s="112" t="str">
        <f t="shared" si="2"/>
        <v/>
      </c>
      <c r="R60" s="112" t="str">
        <f t="shared" si="3"/>
        <v/>
      </c>
      <c r="S60" s="112" t="str">
        <f t="shared" si="6"/>
        <v/>
      </c>
      <c r="T60" s="112" t="str">
        <f t="shared" si="7"/>
        <v/>
      </c>
      <c r="U60" s="112" t="str">
        <f t="shared" si="8"/>
        <v/>
      </c>
      <c r="V60" s="112" t="str">
        <f t="shared" si="9"/>
        <v/>
      </c>
      <c r="W60" s="112" t="str">
        <f t="shared" si="10"/>
        <v/>
      </c>
      <c r="X60" s="112" t="str">
        <f t="shared" si="4"/>
        <v/>
      </c>
      <c r="Y60" s="112" t="str">
        <f t="shared" si="5"/>
        <v/>
      </c>
      <c r="Z60" s="112" t="str">
        <f t="shared" si="11"/>
        <v/>
      </c>
      <c r="AA60" s="112" t="str">
        <f t="shared" si="12"/>
        <v/>
      </c>
      <c r="AB60" s="112" t="str">
        <f t="shared" si="13"/>
        <v/>
      </c>
      <c r="AC60" s="112" t="str">
        <f t="shared" si="14"/>
        <v/>
      </c>
      <c r="AD60" s="112" t="str">
        <f t="shared" si="15"/>
        <v/>
      </c>
      <c r="AG60" s="117" t="s">
        <v>2717</v>
      </c>
    </row>
    <row r="61" spans="1:33" x14ac:dyDescent="0.2">
      <c r="A61" s="112">
        <f>IF(SUM(Q61:R61)=1,1+MAX($A$1:A60),"")</f>
        <v>3</v>
      </c>
      <c r="B61" s="112" t="str">
        <f>IF(SUM(X61:Y61)=1,1+MAX($B$1:B60),"")</f>
        <v/>
      </c>
      <c r="C61" s="112" t="str">
        <f>IF(SUM(Q61:R61,X61:Y61)=2,1+MAX($C$1:C60),"")</f>
        <v/>
      </c>
      <c r="D61" s="113">
        <v>41804</v>
      </c>
      <c r="E61" s="112">
        <v>2014</v>
      </c>
      <c r="F61" s="112" t="s">
        <v>2672</v>
      </c>
      <c r="G61" s="112" t="s">
        <v>2673</v>
      </c>
      <c r="H61" s="114" t="s">
        <v>2545</v>
      </c>
      <c r="I61" s="112">
        <f t="shared" si="0"/>
        <v>1</v>
      </c>
      <c r="J61" s="112">
        <f t="shared" si="1"/>
        <v>2</v>
      </c>
      <c r="K61" s="115" t="s">
        <v>2674</v>
      </c>
      <c r="L61" s="115" t="s">
        <v>2670</v>
      </c>
      <c r="M61" s="115" t="s">
        <v>2649</v>
      </c>
      <c r="N61" s="115">
        <v>39800</v>
      </c>
      <c r="O61" s="112">
        <v>1</v>
      </c>
      <c r="P61" s="116" t="s">
        <v>2638</v>
      </c>
      <c r="Q61" s="112">
        <f t="shared" si="2"/>
        <v>1</v>
      </c>
      <c r="R61" s="112" t="str">
        <f t="shared" si="3"/>
        <v/>
      </c>
      <c r="S61" s="112">
        <f t="shared" si="6"/>
        <v>0</v>
      </c>
      <c r="T61" s="112">
        <f t="shared" si="7"/>
        <v>0</v>
      </c>
      <c r="U61" s="112">
        <f t="shared" si="8"/>
        <v>1</v>
      </c>
      <c r="V61" s="112">
        <f t="shared" si="9"/>
        <v>3</v>
      </c>
      <c r="W61" s="112">
        <f t="shared" si="10"/>
        <v>-1</v>
      </c>
      <c r="X61" s="112" t="str">
        <f t="shared" si="4"/>
        <v/>
      </c>
      <c r="Y61" s="112" t="str">
        <f t="shared" si="5"/>
        <v/>
      </c>
      <c r="Z61" s="112" t="str">
        <f t="shared" si="11"/>
        <v/>
      </c>
      <c r="AA61" s="112" t="str">
        <f t="shared" si="12"/>
        <v/>
      </c>
      <c r="AB61" s="112" t="str">
        <f t="shared" si="13"/>
        <v/>
      </c>
      <c r="AC61" s="112" t="str">
        <f t="shared" si="14"/>
        <v/>
      </c>
      <c r="AD61" s="112" t="str">
        <f t="shared" si="15"/>
        <v/>
      </c>
      <c r="AG61" s="117" t="s">
        <v>2549</v>
      </c>
    </row>
    <row r="62" spans="1:33" x14ac:dyDescent="0.2">
      <c r="A62" s="112" t="str">
        <f>IF(SUM(Q62:R62)=1,1+MAX($A$1:A61),"")</f>
        <v/>
      </c>
      <c r="B62" s="112" t="str">
        <f>IF(SUM(X62:Y62)=1,1+MAX($B$1:B61),"")</f>
        <v/>
      </c>
      <c r="C62" s="112" t="str">
        <f>IF(SUM(Q62:R62,X62:Y62)=2,1+MAX($C$1:C61),"")</f>
        <v/>
      </c>
      <c r="D62" s="113">
        <v>41803</v>
      </c>
      <c r="E62" s="112">
        <v>2014</v>
      </c>
      <c r="F62" s="112" t="s">
        <v>2689</v>
      </c>
      <c r="G62" s="112" t="s">
        <v>2690</v>
      </c>
      <c r="H62" s="114" t="s">
        <v>2693</v>
      </c>
      <c r="I62" s="112">
        <f t="shared" si="0"/>
        <v>0</v>
      </c>
      <c r="J62" s="112">
        <f t="shared" si="1"/>
        <v>1</v>
      </c>
      <c r="K62" s="115" t="s">
        <v>1061</v>
      </c>
      <c r="L62" s="115" t="s">
        <v>2675</v>
      </c>
      <c r="M62" s="115" t="s">
        <v>2694</v>
      </c>
      <c r="N62" s="115">
        <v>39216</v>
      </c>
      <c r="O62" s="112">
        <v>1</v>
      </c>
      <c r="P62" s="116" t="s">
        <v>2601</v>
      </c>
      <c r="Q62" s="112" t="str">
        <f t="shared" si="2"/>
        <v/>
      </c>
      <c r="R62" s="112" t="str">
        <f t="shared" si="3"/>
        <v/>
      </c>
      <c r="S62" s="112" t="str">
        <f t="shared" si="6"/>
        <v/>
      </c>
      <c r="T62" s="112" t="str">
        <f t="shared" si="7"/>
        <v/>
      </c>
      <c r="U62" s="112" t="str">
        <f t="shared" si="8"/>
        <v/>
      </c>
      <c r="V62" s="112" t="str">
        <f t="shared" si="9"/>
        <v/>
      </c>
      <c r="W62" s="112" t="str">
        <f t="shared" si="10"/>
        <v/>
      </c>
      <c r="X62" s="112" t="str">
        <f t="shared" si="4"/>
        <v/>
      </c>
      <c r="Y62" s="112" t="str">
        <f t="shared" si="5"/>
        <v/>
      </c>
      <c r="Z62" s="112" t="str">
        <f t="shared" si="11"/>
        <v/>
      </c>
      <c r="AA62" s="112" t="str">
        <f t="shared" si="12"/>
        <v/>
      </c>
      <c r="AB62" s="112" t="str">
        <f t="shared" si="13"/>
        <v/>
      </c>
      <c r="AC62" s="112" t="str">
        <f t="shared" si="14"/>
        <v/>
      </c>
      <c r="AD62" s="112" t="str">
        <f t="shared" si="15"/>
        <v/>
      </c>
      <c r="AG62" s="117" t="s">
        <v>2558</v>
      </c>
    </row>
    <row r="63" spans="1:33" x14ac:dyDescent="0.2">
      <c r="A63" s="112" t="str">
        <f>IF(SUM(Q63:R63)=1,1+MAX($A$1:A62),"")</f>
        <v/>
      </c>
      <c r="B63" s="112" t="str">
        <f>IF(SUM(X63:Y63)=1,1+MAX($B$1:B62),"")</f>
        <v/>
      </c>
      <c r="C63" s="112" t="str">
        <f>IF(SUM(Q63:R63,X63:Y63)=2,1+MAX($C$1:C62),"")</f>
        <v/>
      </c>
      <c r="D63" s="113">
        <v>41803</v>
      </c>
      <c r="E63" s="112">
        <v>2014</v>
      </c>
      <c r="F63" s="112" t="s">
        <v>2684</v>
      </c>
      <c r="G63" s="112" t="s">
        <v>2685</v>
      </c>
      <c r="H63" s="114" t="s">
        <v>1317</v>
      </c>
      <c r="I63" s="112">
        <f t="shared" si="0"/>
        <v>1</v>
      </c>
      <c r="J63" s="112">
        <f t="shared" si="1"/>
        <v>3</v>
      </c>
      <c r="K63" s="115" t="s">
        <v>2650</v>
      </c>
      <c r="L63" s="115" t="s">
        <v>2682</v>
      </c>
      <c r="M63" s="115" t="s">
        <v>2668</v>
      </c>
      <c r="N63" s="115">
        <v>40275</v>
      </c>
      <c r="O63" s="112">
        <v>1</v>
      </c>
      <c r="P63" s="116" t="s">
        <v>2691</v>
      </c>
      <c r="Q63" s="112" t="str">
        <f t="shared" si="2"/>
        <v/>
      </c>
      <c r="R63" s="112" t="str">
        <f t="shared" si="3"/>
        <v/>
      </c>
      <c r="S63" s="112" t="str">
        <f t="shared" si="6"/>
        <v/>
      </c>
      <c r="T63" s="112" t="str">
        <f t="shared" si="7"/>
        <v/>
      </c>
      <c r="U63" s="112" t="str">
        <f t="shared" si="8"/>
        <v/>
      </c>
      <c r="V63" s="112" t="str">
        <f t="shared" si="9"/>
        <v/>
      </c>
      <c r="W63" s="112" t="str">
        <f t="shared" si="10"/>
        <v/>
      </c>
      <c r="X63" s="112" t="str">
        <f t="shared" si="4"/>
        <v/>
      </c>
      <c r="Y63" s="112" t="str">
        <f t="shared" si="5"/>
        <v/>
      </c>
      <c r="Z63" s="112" t="str">
        <f t="shared" si="11"/>
        <v/>
      </c>
      <c r="AA63" s="112" t="str">
        <f t="shared" si="12"/>
        <v/>
      </c>
      <c r="AB63" s="112" t="str">
        <f t="shared" si="13"/>
        <v/>
      </c>
      <c r="AC63" s="112" t="str">
        <f t="shared" si="14"/>
        <v/>
      </c>
      <c r="AD63" s="112" t="str">
        <f t="shared" si="15"/>
        <v/>
      </c>
      <c r="AG63" s="117" t="s">
        <v>2718</v>
      </c>
    </row>
    <row r="64" spans="1:33" x14ac:dyDescent="0.2">
      <c r="A64" s="112" t="str">
        <f>IF(SUM(Q64:R64)=1,1+MAX($A$1:A63),"")</f>
        <v/>
      </c>
      <c r="B64" s="112" t="str">
        <f>IF(SUM(X64:Y64)=1,1+MAX($B$1:B63),"")</f>
        <v/>
      </c>
      <c r="C64" s="112" t="str">
        <f>IF(SUM(Q64:R64,X64:Y64)=2,1+MAX($C$1:C63),"")</f>
        <v/>
      </c>
      <c r="D64" s="113">
        <v>41803</v>
      </c>
      <c r="E64" s="112">
        <v>2014</v>
      </c>
      <c r="F64" s="112" t="s">
        <v>2684</v>
      </c>
      <c r="G64" s="112" t="s">
        <v>2685</v>
      </c>
      <c r="H64" s="114" t="s">
        <v>2604</v>
      </c>
      <c r="I64" s="112">
        <f t="shared" si="0"/>
        <v>5</v>
      </c>
      <c r="J64" s="112">
        <f t="shared" si="1"/>
        <v>1</v>
      </c>
      <c r="K64" s="115" t="s">
        <v>2557</v>
      </c>
      <c r="L64" s="115" t="s">
        <v>2620</v>
      </c>
      <c r="M64" s="115" t="s">
        <v>2600</v>
      </c>
      <c r="N64" s="115">
        <v>48173</v>
      </c>
      <c r="O64" s="112">
        <v>1</v>
      </c>
      <c r="P64" s="116" t="s">
        <v>2719</v>
      </c>
      <c r="Q64" s="112" t="str">
        <f t="shared" si="2"/>
        <v/>
      </c>
      <c r="R64" s="112" t="str">
        <f t="shared" si="3"/>
        <v/>
      </c>
      <c r="S64" s="112" t="str">
        <f t="shared" si="6"/>
        <v/>
      </c>
      <c r="T64" s="112" t="str">
        <f t="shared" si="7"/>
        <v/>
      </c>
      <c r="U64" s="112" t="str">
        <f t="shared" si="8"/>
        <v/>
      </c>
      <c r="V64" s="112" t="str">
        <f t="shared" si="9"/>
        <v/>
      </c>
      <c r="W64" s="112" t="str">
        <f t="shared" si="10"/>
        <v/>
      </c>
      <c r="X64" s="112" t="str">
        <f t="shared" si="4"/>
        <v/>
      </c>
      <c r="Y64" s="112" t="str">
        <f t="shared" si="5"/>
        <v/>
      </c>
      <c r="Z64" s="112" t="str">
        <f t="shared" si="11"/>
        <v/>
      </c>
      <c r="AA64" s="112" t="str">
        <f t="shared" si="12"/>
        <v/>
      </c>
      <c r="AB64" s="112" t="str">
        <f t="shared" si="13"/>
        <v/>
      </c>
      <c r="AC64" s="112" t="str">
        <f t="shared" si="14"/>
        <v/>
      </c>
      <c r="AD64" s="112" t="str">
        <f t="shared" si="15"/>
        <v/>
      </c>
      <c r="AG64" s="117" t="s">
        <v>2720</v>
      </c>
    </row>
    <row r="65" spans="1:33" x14ac:dyDescent="0.2">
      <c r="A65" s="112" t="str">
        <f>IF(SUM(Q65:R65)=1,1+MAX($A$1:A64),"")</f>
        <v/>
      </c>
      <c r="B65" s="112" t="str">
        <f>IF(SUM(X65:Y65)=1,1+MAX($B$1:B64),"")</f>
        <v/>
      </c>
      <c r="C65" s="112" t="str">
        <f>IF(SUM(Q65:R65,X65:Y65)=2,1+MAX($C$1:C64),"")</f>
        <v/>
      </c>
      <c r="D65" s="113">
        <v>41802</v>
      </c>
      <c r="E65" s="112">
        <v>2014</v>
      </c>
      <c r="F65" s="112" t="s">
        <v>2689</v>
      </c>
      <c r="G65" s="112" t="s">
        <v>2690</v>
      </c>
      <c r="H65" s="114" t="s">
        <v>1442</v>
      </c>
      <c r="I65" s="112">
        <f t="shared" si="0"/>
        <v>3</v>
      </c>
      <c r="J65" s="112">
        <f t="shared" si="1"/>
        <v>1</v>
      </c>
      <c r="K65" s="115" t="s">
        <v>1024</v>
      </c>
      <c r="L65" s="115" t="s">
        <v>2632</v>
      </c>
      <c r="M65" s="115" t="s">
        <v>2721</v>
      </c>
      <c r="N65" s="115">
        <v>62103</v>
      </c>
      <c r="O65" s="112">
        <v>1</v>
      </c>
      <c r="P65" s="116" t="s">
        <v>2663</v>
      </c>
      <c r="Q65" s="112" t="str">
        <f t="shared" si="2"/>
        <v/>
      </c>
      <c r="R65" s="112" t="str">
        <f t="shared" si="3"/>
        <v/>
      </c>
      <c r="S65" s="112" t="str">
        <f t="shared" si="6"/>
        <v/>
      </c>
      <c r="T65" s="112" t="str">
        <f t="shared" si="7"/>
        <v/>
      </c>
      <c r="U65" s="112" t="str">
        <f t="shared" si="8"/>
        <v/>
      </c>
      <c r="V65" s="112" t="str">
        <f t="shared" si="9"/>
        <v/>
      </c>
      <c r="W65" s="112" t="str">
        <f t="shared" si="10"/>
        <v/>
      </c>
      <c r="X65" s="112" t="str">
        <f t="shared" si="4"/>
        <v/>
      </c>
      <c r="Y65" s="112" t="str">
        <f t="shared" si="5"/>
        <v/>
      </c>
      <c r="Z65" s="112" t="str">
        <f t="shared" si="11"/>
        <v/>
      </c>
      <c r="AA65" s="112" t="str">
        <f t="shared" si="12"/>
        <v/>
      </c>
      <c r="AB65" s="112" t="str">
        <f t="shared" si="13"/>
        <v/>
      </c>
      <c r="AC65" s="112" t="str">
        <f t="shared" si="14"/>
        <v/>
      </c>
      <c r="AD65" s="112" t="str">
        <f t="shared" si="15"/>
        <v/>
      </c>
      <c r="AG65" s="117" t="s">
        <v>2388</v>
      </c>
    </row>
    <row r="66" spans="1:33" x14ac:dyDescent="0.2">
      <c r="A66" s="112" t="str">
        <f>IF(SUM(Q66:R66)=1,1+MAX($A$1:A65),"")</f>
        <v/>
      </c>
      <c r="B66" s="112" t="str">
        <f>IF(SUM(X66:Y66)=1,1+MAX($B$1:B65),"")</f>
        <v/>
      </c>
      <c r="C66" s="112" t="str">
        <f>IF(SUM(Q66:R66,X66:Y66)=2,1+MAX($C$1:C65),"")</f>
        <v/>
      </c>
      <c r="D66" s="113">
        <v>40370</v>
      </c>
      <c r="E66" s="112">
        <v>2010</v>
      </c>
      <c r="F66" s="112" t="s">
        <v>2597</v>
      </c>
      <c r="H66" s="114" t="s">
        <v>2604</v>
      </c>
      <c r="I66" s="112">
        <f t="shared" ref="I66:I129" si="16">INT(LEFT(P66,FIND("-",P66)-1))</f>
        <v>0</v>
      </c>
      <c r="J66" s="112">
        <f t="shared" ref="J66:J129" si="17">INT(RIGHT(P66,LEN(P66)-FIND("-",P66)-1))</f>
        <v>1</v>
      </c>
      <c r="K66" s="115" t="s">
        <v>2557</v>
      </c>
      <c r="L66" s="115" t="s">
        <v>2722</v>
      </c>
      <c r="M66" s="115" t="s">
        <v>2651</v>
      </c>
      <c r="N66" s="115">
        <v>84490</v>
      </c>
      <c r="O66" s="112">
        <v>1</v>
      </c>
      <c r="P66" s="116" t="s">
        <v>2601</v>
      </c>
      <c r="Q66" s="112" t="str">
        <f t="shared" ref="Q66:Q129" si="18">IF(H66=team1,1,"")</f>
        <v/>
      </c>
      <c r="R66" s="112" t="str">
        <f t="shared" ref="R66:R129" si="19">IF(K66=team1,1,"")</f>
        <v/>
      </c>
      <c r="S66" s="112" t="str">
        <f t="shared" si="6"/>
        <v/>
      </c>
      <c r="T66" s="112" t="str">
        <f t="shared" si="7"/>
        <v/>
      </c>
      <c r="U66" s="112" t="str">
        <f t="shared" si="8"/>
        <v/>
      </c>
      <c r="V66" s="112" t="str">
        <f t="shared" si="9"/>
        <v/>
      </c>
      <c r="W66" s="112" t="str">
        <f t="shared" si="10"/>
        <v/>
      </c>
      <c r="X66" s="112" t="str">
        <f t="shared" ref="X66:X129" si="20">IF(H66=team2,1,"")</f>
        <v/>
      </c>
      <c r="Y66" s="112" t="str">
        <f t="shared" ref="Y66:Y129" si="21">IF(K66=team2,1,"")</f>
        <v/>
      </c>
      <c r="Z66" s="112" t="str">
        <f t="shared" si="11"/>
        <v/>
      </c>
      <c r="AA66" s="112" t="str">
        <f t="shared" si="12"/>
        <v/>
      </c>
      <c r="AB66" s="112" t="str">
        <f t="shared" si="13"/>
        <v/>
      </c>
      <c r="AC66" s="112" t="str">
        <f t="shared" si="14"/>
        <v/>
      </c>
      <c r="AD66" s="112" t="str">
        <f t="shared" si="15"/>
        <v/>
      </c>
      <c r="AG66" s="117" t="s">
        <v>2540</v>
      </c>
    </row>
    <row r="67" spans="1:33" x14ac:dyDescent="0.2">
      <c r="A67" s="112" t="str">
        <f>IF(SUM(Q67:R67)=1,1+MAX($A$1:A66),"")</f>
        <v/>
      </c>
      <c r="B67" s="112" t="str">
        <f>IF(SUM(X67:Y67)=1,1+MAX($B$1:B66),"")</f>
        <v/>
      </c>
      <c r="C67" s="112" t="str">
        <f>IF(SUM(Q67:R67,X67:Y67)=2,1+MAX($C$1:C66),"")</f>
        <v/>
      </c>
      <c r="D67" s="113">
        <v>40369</v>
      </c>
      <c r="E67" s="112">
        <v>2010</v>
      </c>
      <c r="F67" s="112" t="s">
        <v>2602</v>
      </c>
      <c r="H67" s="114" t="s">
        <v>2547</v>
      </c>
      <c r="I67" s="112">
        <f t="shared" si="16"/>
        <v>3</v>
      </c>
      <c r="J67" s="112">
        <f t="shared" si="17"/>
        <v>2</v>
      </c>
      <c r="K67" s="115" t="s">
        <v>2540</v>
      </c>
      <c r="L67" s="115" t="s">
        <v>2723</v>
      </c>
      <c r="M67" s="115" t="s">
        <v>2724</v>
      </c>
      <c r="N67" s="115">
        <v>36254</v>
      </c>
      <c r="O67" s="112">
        <v>2</v>
      </c>
      <c r="P67" s="116" t="s">
        <v>2664</v>
      </c>
      <c r="Q67" s="112" t="str">
        <f t="shared" si="18"/>
        <v/>
      </c>
      <c r="R67" s="112" t="str">
        <f t="shared" si="19"/>
        <v/>
      </c>
      <c r="S67" s="112" t="str">
        <f t="shared" ref="S67:S130" si="22">IF(Q67=1,IF($I67&gt;$J67,1,0),IF(R67=1,IF($I67&lt;$J67,1,0),""))</f>
        <v/>
      </c>
      <c r="T67" s="112" t="str">
        <f t="shared" ref="T67:T130" si="23">IF(Q67=1,IF($I67=$J67,1,0),IF(R67=1,IF($I67=$J67,1,0),""))</f>
        <v/>
      </c>
      <c r="U67" s="112" t="str">
        <f t="shared" ref="U67:U130" si="24">IF(Q67=1,IF($I67&lt;$J67,1,0),IF(R67=1,IF($I67&gt;$J67,1,0),""))</f>
        <v/>
      </c>
      <c r="V67" s="112" t="str">
        <f t="shared" ref="V67:V130" si="25">IF(SUM(Q67:R67)=1,$I67+$J67,"")</f>
        <v/>
      </c>
      <c r="W67" s="112" t="str">
        <f t="shared" ref="W67:W130" si="26">IF(Q67=1,$I67-$J67,IF(R67=1,-($I67-$J67),""))</f>
        <v/>
      </c>
      <c r="X67" s="112" t="str">
        <f t="shared" si="20"/>
        <v/>
      </c>
      <c r="Y67" s="112" t="str">
        <f t="shared" si="21"/>
        <v/>
      </c>
      <c r="Z67" s="112" t="str">
        <f t="shared" ref="Z67:Z130" si="27">IF(X67=1,IF($I67&gt;$J67,1,0),IF(Y67=1,IF($I67&lt;$J67,1,0),""))</f>
        <v/>
      </c>
      <c r="AA67" s="112" t="str">
        <f t="shared" ref="AA67:AA130" si="28">IF(X67=1,IF($I67=$J67,1,0),IF(Y67=1,IF($I67=$J67,1,0),""))</f>
        <v/>
      </c>
      <c r="AB67" s="112" t="str">
        <f t="shared" ref="AB67:AB130" si="29">IF(X67=1,IF($I67&lt;$J67,1,0),IF(Y67=1,IF($I67&gt;$J67,1,0),""))</f>
        <v/>
      </c>
      <c r="AC67" s="112" t="str">
        <f t="shared" ref="AC67:AC130" si="30">IF(SUM(X67:Y67)=1,$I67+$J67,"")</f>
        <v/>
      </c>
      <c r="AD67" s="112" t="str">
        <f t="shared" ref="AD67:AD130" si="31">IF(X67=1,$I67-$J67,IF(Y67=1,-($I67-$J67),""))</f>
        <v/>
      </c>
      <c r="AG67" s="117" t="s">
        <v>2725</v>
      </c>
    </row>
    <row r="68" spans="1:33" x14ac:dyDescent="0.2">
      <c r="A68" s="112" t="str">
        <f>IF(SUM(Q68:R68)=1,1+MAX($A$1:A67),"")</f>
        <v/>
      </c>
      <c r="B68" s="112" t="str">
        <f>IF(SUM(X68:Y68)=1,1+MAX($B$1:B67),"")</f>
        <v/>
      </c>
      <c r="C68" s="112" t="str">
        <f>IF(SUM(Q68:R68,X68:Y68)=2,1+MAX($C$1:C67),"")</f>
        <v/>
      </c>
      <c r="D68" s="113">
        <v>40366</v>
      </c>
      <c r="E68" s="112">
        <v>2010</v>
      </c>
      <c r="F68" s="112" t="s">
        <v>2609</v>
      </c>
      <c r="H68" s="114" t="s">
        <v>2547</v>
      </c>
      <c r="I68" s="112">
        <f t="shared" si="16"/>
        <v>0</v>
      </c>
      <c r="J68" s="112">
        <f t="shared" si="17"/>
        <v>1</v>
      </c>
      <c r="K68" s="115" t="s">
        <v>2557</v>
      </c>
      <c r="L68" s="115" t="s">
        <v>2726</v>
      </c>
      <c r="M68" s="115" t="s">
        <v>2727</v>
      </c>
      <c r="N68" s="115">
        <v>60960</v>
      </c>
      <c r="O68" s="112">
        <v>1</v>
      </c>
      <c r="P68" s="116" t="s">
        <v>2601</v>
      </c>
      <c r="Q68" s="112" t="str">
        <f t="shared" si="18"/>
        <v/>
      </c>
      <c r="R68" s="112" t="str">
        <f t="shared" si="19"/>
        <v/>
      </c>
      <c r="S68" s="112" t="str">
        <f t="shared" si="22"/>
        <v/>
      </c>
      <c r="T68" s="112" t="str">
        <f t="shared" si="23"/>
        <v/>
      </c>
      <c r="U68" s="112" t="str">
        <f t="shared" si="24"/>
        <v/>
      </c>
      <c r="V68" s="112" t="str">
        <f t="shared" si="25"/>
        <v/>
      </c>
      <c r="W68" s="112" t="str">
        <f t="shared" si="26"/>
        <v/>
      </c>
      <c r="X68" s="112" t="str">
        <f t="shared" si="20"/>
        <v/>
      </c>
      <c r="Y68" s="112" t="str">
        <f t="shared" si="21"/>
        <v/>
      </c>
      <c r="Z68" s="112" t="str">
        <f t="shared" si="27"/>
        <v/>
      </c>
      <c r="AA68" s="112" t="str">
        <f t="shared" si="28"/>
        <v/>
      </c>
      <c r="AB68" s="112" t="str">
        <f t="shared" si="29"/>
        <v/>
      </c>
      <c r="AC68" s="112" t="str">
        <f t="shared" si="30"/>
        <v/>
      </c>
      <c r="AD68" s="112" t="str">
        <f t="shared" si="31"/>
        <v/>
      </c>
      <c r="AG68" s="117" t="s">
        <v>2728</v>
      </c>
    </row>
    <row r="69" spans="1:33" x14ac:dyDescent="0.2">
      <c r="A69" s="112" t="str">
        <f>IF(SUM(Q69:R69)=1,1+MAX($A$1:A68),"")</f>
        <v/>
      </c>
      <c r="B69" s="112" t="str">
        <f>IF(SUM(X69:Y69)=1,1+MAX($B$1:B68),"")</f>
        <v/>
      </c>
      <c r="C69" s="112" t="str">
        <f>IF(SUM(Q69:R69,X69:Y69)=2,1+MAX($C$1:C68),"")</f>
        <v/>
      </c>
      <c r="D69" s="113">
        <v>40365</v>
      </c>
      <c r="E69" s="112">
        <v>2010</v>
      </c>
      <c r="F69" s="112" t="s">
        <v>2609</v>
      </c>
      <c r="H69" s="114" t="s">
        <v>2604</v>
      </c>
      <c r="I69" s="112">
        <f t="shared" si="16"/>
        <v>3</v>
      </c>
      <c r="J69" s="112">
        <f t="shared" si="17"/>
        <v>2</v>
      </c>
      <c r="K69" s="115" t="s">
        <v>2540</v>
      </c>
      <c r="L69" s="115" t="s">
        <v>2729</v>
      </c>
      <c r="M69" s="115" t="s">
        <v>2621</v>
      </c>
      <c r="N69" s="115">
        <v>62479</v>
      </c>
      <c r="O69" s="112">
        <v>2</v>
      </c>
      <c r="P69" s="116" t="s">
        <v>2664</v>
      </c>
      <c r="Q69" s="112" t="str">
        <f t="shared" si="18"/>
        <v/>
      </c>
      <c r="R69" s="112" t="str">
        <f t="shared" si="19"/>
        <v/>
      </c>
      <c r="S69" s="112" t="str">
        <f t="shared" si="22"/>
        <v/>
      </c>
      <c r="T69" s="112" t="str">
        <f t="shared" si="23"/>
        <v/>
      </c>
      <c r="U69" s="112" t="str">
        <f t="shared" si="24"/>
        <v/>
      </c>
      <c r="V69" s="112" t="str">
        <f t="shared" si="25"/>
        <v/>
      </c>
      <c r="W69" s="112" t="str">
        <f t="shared" si="26"/>
        <v/>
      </c>
      <c r="X69" s="112" t="str">
        <f t="shared" si="20"/>
        <v/>
      </c>
      <c r="Y69" s="112" t="str">
        <f t="shared" si="21"/>
        <v/>
      </c>
      <c r="Z69" s="112" t="str">
        <f t="shared" si="27"/>
        <v/>
      </c>
      <c r="AA69" s="112" t="str">
        <f t="shared" si="28"/>
        <v/>
      </c>
      <c r="AB69" s="112" t="str">
        <f t="shared" si="29"/>
        <v/>
      </c>
      <c r="AC69" s="112" t="str">
        <f t="shared" si="30"/>
        <v/>
      </c>
      <c r="AD69" s="112" t="str">
        <f t="shared" si="31"/>
        <v/>
      </c>
      <c r="AG69" s="117" t="s">
        <v>1024</v>
      </c>
    </row>
    <row r="70" spans="1:33" x14ac:dyDescent="0.2">
      <c r="A70" s="112" t="str">
        <f>IF(SUM(Q70:R70)=1,1+MAX($A$1:A69),"")</f>
        <v/>
      </c>
      <c r="B70" s="112" t="str">
        <f>IF(SUM(X70:Y70)=1,1+MAX($B$1:B69),"")</f>
        <v/>
      </c>
      <c r="C70" s="112" t="str">
        <f>IF(SUM(Q70:R70,X70:Y70)=2,1+MAX($C$1:C69),"")</f>
        <v/>
      </c>
      <c r="D70" s="113">
        <v>40362</v>
      </c>
      <c r="E70" s="112">
        <v>2010</v>
      </c>
      <c r="F70" s="112" t="s">
        <v>2618</v>
      </c>
      <c r="H70" s="114" t="s">
        <v>2709</v>
      </c>
      <c r="I70" s="112">
        <f t="shared" si="16"/>
        <v>0</v>
      </c>
      <c r="J70" s="112">
        <f t="shared" si="17"/>
        <v>1</v>
      </c>
      <c r="K70" s="115" t="s">
        <v>2557</v>
      </c>
      <c r="L70" s="115" t="s">
        <v>2730</v>
      </c>
      <c r="M70" s="115" t="s">
        <v>2731</v>
      </c>
      <c r="N70" s="115">
        <v>55359</v>
      </c>
      <c r="O70" s="112">
        <v>1</v>
      </c>
      <c r="P70" s="116" t="s">
        <v>2601</v>
      </c>
      <c r="Q70" s="112" t="str">
        <f t="shared" si="18"/>
        <v/>
      </c>
      <c r="R70" s="112" t="str">
        <f t="shared" si="19"/>
        <v/>
      </c>
      <c r="S70" s="112" t="str">
        <f t="shared" si="22"/>
        <v/>
      </c>
      <c r="T70" s="112" t="str">
        <f t="shared" si="23"/>
        <v/>
      </c>
      <c r="U70" s="112" t="str">
        <f t="shared" si="24"/>
        <v/>
      </c>
      <c r="V70" s="112" t="str">
        <f t="shared" si="25"/>
        <v/>
      </c>
      <c r="W70" s="112" t="str">
        <f t="shared" si="26"/>
        <v/>
      </c>
      <c r="X70" s="112" t="str">
        <f t="shared" si="20"/>
        <v/>
      </c>
      <c r="Y70" s="112" t="str">
        <f t="shared" si="21"/>
        <v/>
      </c>
      <c r="Z70" s="112" t="str">
        <f t="shared" si="27"/>
        <v/>
      </c>
      <c r="AA70" s="112" t="str">
        <f t="shared" si="28"/>
        <v/>
      </c>
      <c r="AB70" s="112" t="str">
        <f t="shared" si="29"/>
        <v/>
      </c>
      <c r="AC70" s="112" t="str">
        <f t="shared" si="30"/>
        <v/>
      </c>
      <c r="AD70" s="112" t="str">
        <f t="shared" si="31"/>
        <v/>
      </c>
      <c r="AG70" s="117" t="s">
        <v>2732</v>
      </c>
    </row>
    <row r="71" spans="1:33" x14ac:dyDescent="0.2">
      <c r="A71" s="112" t="str">
        <f>IF(SUM(Q71:R71)=1,1+MAX($A$1:A70),"")</f>
        <v/>
      </c>
      <c r="B71" s="112">
        <f>IF(SUM(X71:Y71)=1,1+MAX($B$1:B70),"")</f>
        <v>8</v>
      </c>
      <c r="C71" s="112" t="str">
        <f>IF(SUM(Q71:R71,X71:Y71)=2,1+MAX($C$1:C70),"")</f>
        <v/>
      </c>
      <c r="D71" s="113">
        <v>40362</v>
      </c>
      <c r="E71" s="112">
        <v>2010</v>
      </c>
      <c r="F71" s="112" t="s">
        <v>2618</v>
      </c>
      <c r="H71" s="114" t="s">
        <v>1134</v>
      </c>
      <c r="I71" s="112">
        <f t="shared" si="16"/>
        <v>0</v>
      </c>
      <c r="J71" s="112">
        <f t="shared" si="17"/>
        <v>4</v>
      </c>
      <c r="K71" s="115" t="s">
        <v>2547</v>
      </c>
      <c r="L71" s="115" t="s">
        <v>2729</v>
      </c>
      <c r="M71" s="115" t="s">
        <v>2621</v>
      </c>
      <c r="N71" s="115">
        <v>64100</v>
      </c>
      <c r="O71" s="112">
        <v>1</v>
      </c>
      <c r="P71" s="116" t="s">
        <v>2708</v>
      </c>
      <c r="Q71" s="112" t="str">
        <f t="shared" si="18"/>
        <v/>
      </c>
      <c r="R71" s="112" t="str">
        <f t="shared" si="19"/>
        <v/>
      </c>
      <c r="S71" s="112" t="str">
        <f t="shared" si="22"/>
        <v/>
      </c>
      <c r="T71" s="112" t="str">
        <f t="shared" si="23"/>
        <v/>
      </c>
      <c r="U71" s="112" t="str">
        <f t="shared" si="24"/>
        <v/>
      </c>
      <c r="V71" s="112" t="str">
        <f t="shared" si="25"/>
        <v/>
      </c>
      <c r="W71" s="112" t="str">
        <f t="shared" si="26"/>
        <v/>
      </c>
      <c r="X71" s="112">
        <f t="shared" si="20"/>
        <v>1</v>
      </c>
      <c r="Y71" s="112" t="str">
        <f t="shared" si="21"/>
        <v/>
      </c>
      <c r="Z71" s="112">
        <f t="shared" si="27"/>
        <v>0</v>
      </c>
      <c r="AA71" s="112">
        <f t="shared" si="28"/>
        <v>0</v>
      </c>
      <c r="AB71" s="112">
        <f t="shared" si="29"/>
        <v>1</v>
      </c>
      <c r="AC71" s="112">
        <f t="shared" si="30"/>
        <v>4</v>
      </c>
      <c r="AD71" s="112">
        <f t="shared" si="31"/>
        <v>-4</v>
      </c>
      <c r="AG71" s="117" t="s">
        <v>2733</v>
      </c>
    </row>
    <row r="72" spans="1:33" x14ac:dyDescent="0.2">
      <c r="A72" s="112" t="str">
        <f>IF(SUM(Q72:R72)=1,1+MAX($A$1:A71),"")</f>
        <v/>
      </c>
      <c r="B72" s="112" t="str">
        <f>IF(SUM(X72:Y72)=1,1+MAX($B$1:B71),"")</f>
        <v/>
      </c>
      <c r="C72" s="112" t="str">
        <f>IF(SUM(Q72:R72,X72:Y72)=2,1+MAX($C$1:C71),"")</f>
        <v/>
      </c>
      <c r="D72" s="113">
        <v>40361</v>
      </c>
      <c r="E72" s="112">
        <v>2010</v>
      </c>
      <c r="F72" s="112" t="s">
        <v>2618</v>
      </c>
      <c r="H72" s="114" t="s">
        <v>2658</v>
      </c>
      <c r="I72" s="112">
        <f t="shared" si="16"/>
        <v>1</v>
      </c>
      <c r="J72" s="112">
        <f t="shared" si="17"/>
        <v>1</v>
      </c>
      <c r="K72" s="115" t="s">
        <v>2540</v>
      </c>
      <c r="L72" s="115" t="s">
        <v>2722</v>
      </c>
      <c r="M72" s="115" t="s">
        <v>2734</v>
      </c>
      <c r="N72" s="115">
        <v>84017</v>
      </c>
      <c r="O72" s="112">
        <v>2</v>
      </c>
      <c r="P72" s="116" t="s">
        <v>2645</v>
      </c>
      <c r="Q72" s="112" t="str">
        <f t="shared" si="18"/>
        <v/>
      </c>
      <c r="R72" s="112" t="str">
        <f t="shared" si="19"/>
        <v/>
      </c>
      <c r="S72" s="112" t="str">
        <f t="shared" si="22"/>
        <v/>
      </c>
      <c r="T72" s="112" t="str">
        <f t="shared" si="23"/>
        <v/>
      </c>
      <c r="U72" s="112" t="str">
        <f t="shared" si="24"/>
        <v/>
      </c>
      <c r="V72" s="112" t="str">
        <f t="shared" si="25"/>
        <v/>
      </c>
      <c r="W72" s="112" t="str">
        <f t="shared" si="26"/>
        <v/>
      </c>
      <c r="X72" s="112" t="str">
        <f t="shared" si="20"/>
        <v/>
      </c>
      <c r="Y72" s="112" t="str">
        <f t="shared" si="21"/>
        <v/>
      </c>
      <c r="Z72" s="112" t="str">
        <f t="shared" si="27"/>
        <v/>
      </c>
      <c r="AA72" s="112" t="str">
        <f t="shared" si="28"/>
        <v/>
      </c>
      <c r="AB72" s="112" t="str">
        <f t="shared" si="29"/>
        <v/>
      </c>
      <c r="AC72" s="112" t="str">
        <f t="shared" si="30"/>
        <v/>
      </c>
      <c r="AD72" s="112" t="str">
        <f t="shared" si="31"/>
        <v/>
      </c>
      <c r="AG72" s="117" t="s">
        <v>1395</v>
      </c>
    </row>
    <row r="73" spans="1:33" x14ac:dyDescent="0.2">
      <c r="A73" s="112" t="str">
        <f>IF(SUM(Q73:R73)=1,1+MAX($A$1:A72),"")</f>
        <v/>
      </c>
      <c r="B73" s="112" t="str">
        <f>IF(SUM(X73:Y73)=1,1+MAX($B$1:B72),"")</f>
        <v/>
      </c>
      <c r="C73" s="112" t="str">
        <f>IF(SUM(Q73:R73,X73:Y73)=2,1+MAX($C$1:C72),"")</f>
        <v/>
      </c>
      <c r="D73" s="113">
        <v>40361</v>
      </c>
      <c r="E73" s="112">
        <v>2010</v>
      </c>
      <c r="F73" s="112" t="s">
        <v>2618</v>
      </c>
      <c r="H73" s="114" t="s">
        <v>1442</v>
      </c>
      <c r="I73" s="112">
        <f t="shared" si="16"/>
        <v>1</v>
      </c>
      <c r="J73" s="112">
        <f t="shared" si="17"/>
        <v>2</v>
      </c>
      <c r="K73" s="115" t="s">
        <v>2604</v>
      </c>
      <c r="L73" s="115" t="s">
        <v>2723</v>
      </c>
      <c r="M73" s="115" t="s">
        <v>2721</v>
      </c>
      <c r="N73" s="115">
        <v>40186</v>
      </c>
      <c r="O73" s="112">
        <v>1</v>
      </c>
      <c r="P73" s="116" t="s">
        <v>2638</v>
      </c>
      <c r="Q73" s="112" t="str">
        <f t="shared" si="18"/>
        <v/>
      </c>
      <c r="R73" s="112" t="str">
        <f t="shared" si="19"/>
        <v/>
      </c>
      <c r="S73" s="112" t="str">
        <f t="shared" si="22"/>
        <v/>
      </c>
      <c r="T73" s="112" t="str">
        <f t="shared" si="23"/>
        <v/>
      </c>
      <c r="U73" s="112" t="str">
        <f t="shared" si="24"/>
        <v/>
      </c>
      <c r="V73" s="112" t="str">
        <f t="shared" si="25"/>
        <v/>
      </c>
      <c r="W73" s="112" t="str">
        <f t="shared" si="26"/>
        <v/>
      </c>
      <c r="X73" s="112" t="str">
        <f t="shared" si="20"/>
        <v/>
      </c>
      <c r="Y73" s="112" t="str">
        <f t="shared" si="21"/>
        <v/>
      </c>
      <c r="Z73" s="112" t="str">
        <f t="shared" si="27"/>
        <v/>
      </c>
      <c r="AA73" s="112" t="str">
        <f t="shared" si="28"/>
        <v/>
      </c>
      <c r="AB73" s="112" t="str">
        <f t="shared" si="29"/>
        <v/>
      </c>
      <c r="AC73" s="112" t="str">
        <f t="shared" si="30"/>
        <v/>
      </c>
      <c r="AD73" s="112" t="str">
        <f t="shared" si="31"/>
        <v/>
      </c>
    </row>
    <row r="74" spans="1:33" x14ac:dyDescent="0.2">
      <c r="A74" s="112" t="str">
        <f>IF(SUM(Q74:R74)=1,1+MAX($A$1:A73),"")</f>
        <v/>
      </c>
      <c r="B74" s="112" t="str">
        <f>IF(SUM(X74:Y74)=1,1+MAX($B$1:B73),"")</f>
        <v/>
      </c>
      <c r="C74" s="112" t="str">
        <f>IF(SUM(Q74:R74,X74:Y74)=2,1+MAX($C$1:C73),"")</f>
        <v/>
      </c>
      <c r="D74" s="113">
        <v>40358</v>
      </c>
      <c r="E74" s="112">
        <v>2010</v>
      </c>
      <c r="F74" s="112" t="s">
        <v>2629</v>
      </c>
      <c r="H74" s="114" t="s">
        <v>2556</v>
      </c>
      <c r="I74" s="112">
        <f t="shared" si="16"/>
        <v>0</v>
      </c>
      <c r="J74" s="112">
        <f t="shared" si="17"/>
        <v>1</v>
      </c>
      <c r="K74" s="115" t="s">
        <v>2557</v>
      </c>
      <c r="L74" s="115" t="s">
        <v>2729</v>
      </c>
      <c r="M74" s="115" t="s">
        <v>2735</v>
      </c>
      <c r="N74" s="115">
        <v>62955</v>
      </c>
      <c r="O74" s="112">
        <v>1</v>
      </c>
      <c r="P74" s="116" t="s">
        <v>2601</v>
      </c>
      <c r="Q74" s="112" t="str">
        <f t="shared" si="18"/>
        <v/>
      </c>
      <c r="R74" s="112" t="str">
        <f t="shared" si="19"/>
        <v/>
      </c>
      <c r="S74" s="112" t="str">
        <f t="shared" si="22"/>
        <v/>
      </c>
      <c r="T74" s="112" t="str">
        <f t="shared" si="23"/>
        <v/>
      </c>
      <c r="U74" s="112" t="str">
        <f t="shared" si="24"/>
        <v/>
      </c>
      <c r="V74" s="112" t="str">
        <f t="shared" si="25"/>
        <v/>
      </c>
      <c r="W74" s="112" t="str">
        <f t="shared" si="26"/>
        <v/>
      </c>
      <c r="X74" s="112" t="str">
        <f t="shared" si="20"/>
        <v/>
      </c>
      <c r="Y74" s="112" t="str">
        <f t="shared" si="21"/>
        <v/>
      </c>
      <c r="Z74" s="112" t="str">
        <f t="shared" si="27"/>
        <v/>
      </c>
      <c r="AA74" s="112" t="str">
        <f t="shared" si="28"/>
        <v/>
      </c>
      <c r="AB74" s="112" t="str">
        <f t="shared" si="29"/>
        <v/>
      </c>
      <c r="AC74" s="112" t="str">
        <f t="shared" si="30"/>
        <v/>
      </c>
      <c r="AD74" s="112" t="str">
        <f t="shared" si="31"/>
        <v/>
      </c>
    </row>
    <row r="75" spans="1:33" x14ac:dyDescent="0.2">
      <c r="A75" s="112" t="str">
        <f>IF(SUM(Q75:R75)=1,1+MAX($A$1:A74),"")</f>
        <v/>
      </c>
      <c r="B75" s="112" t="str">
        <f>IF(SUM(X75:Y75)=1,1+MAX($B$1:B74),"")</f>
        <v/>
      </c>
      <c r="C75" s="112" t="str">
        <f>IF(SUM(Q75:R75,X75:Y75)=2,1+MAX($C$1:C74),"")</f>
        <v/>
      </c>
      <c r="D75" s="113">
        <v>40358</v>
      </c>
      <c r="E75" s="112">
        <v>2010</v>
      </c>
      <c r="F75" s="112" t="s">
        <v>2629</v>
      </c>
      <c r="H75" s="114" t="s">
        <v>1395</v>
      </c>
      <c r="I75" s="112">
        <f t="shared" si="16"/>
        <v>0</v>
      </c>
      <c r="J75" s="112">
        <f t="shared" si="17"/>
        <v>0</v>
      </c>
      <c r="K75" s="115" t="s">
        <v>2709</v>
      </c>
      <c r="L75" s="115" t="s">
        <v>2736</v>
      </c>
      <c r="M75" s="115" t="s">
        <v>2737</v>
      </c>
      <c r="N75" s="115">
        <v>36742</v>
      </c>
      <c r="O75" s="112">
        <v>1</v>
      </c>
      <c r="P75" s="116" t="s">
        <v>2613</v>
      </c>
      <c r="Q75" s="112" t="str">
        <f t="shared" si="18"/>
        <v/>
      </c>
      <c r="R75" s="112" t="str">
        <f t="shared" si="19"/>
        <v/>
      </c>
      <c r="S75" s="112" t="str">
        <f t="shared" si="22"/>
        <v/>
      </c>
      <c r="T75" s="112" t="str">
        <f t="shared" si="23"/>
        <v/>
      </c>
      <c r="U75" s="112" t="str">
        <f t="shared" si="24"/>
        <v/>
      </c>
      <c r="V75" s="112" t="str">
        <f t="shared" si="25"/>
        <v/>
      </c>
      <c r="W75" s="112" t="str">
        <f t="shared" si="26"/>
        <v/>
      </c>
      <c r="X75" s="112" t="str">
        <f t="shared" si="20"/>
        <v/>
      </c>
      <c r="Y75" s="112" t="str">
        <f t="shared" si="21"/>
        <v/>
      </c>
      <c r="Z75" s="112" t="str">
        <f t="shared" si="27"/>
        <v/>
      </c>
      <c r="AA75" s="112" t="str">
        <f t="shared" si="28"/>
        <v/>
      </c>
      <c r="AB75" s="112" t="str">
        <f t="shared" si="29"/>
        <v/>
      </c>
      <c r="AC75" s="112" t="str">
        <f t="shared" si="30"/>
        <v/>
      </c>
      <c r="AD75" s="112" t="str">
        <f t="shared" si="31"/>
        <v/>
      </c>
    </row>
    <row r="76" spans="1:33" x14ac:dyDescent="0.2">
      <c r="A76" s="112" t="str">
        <f>IF(SUM(Q76:R76)=1,1+MAX($A$1:A75),"")</f>
        <v/>
      </c>
      <c r="B76" s="112" t="str">
        <f>IF(SUM(X76:Y76)=1,1+MAX($B$1:B75),"")</f>
        <v/>
      </c>
      <c r="C76" s="112" t="str">
        <f>IF(SUM(Q76:R76,X76:Y76)=2,1+MAX($C$1:C75),"")</f>
        <v/>
      </c>
      <c r="D76" s="113">
        <v>40357</v>
      </c>
      <c r="E76" s="112">
        <v>2010</v>
      </c>
      <c r="F76" s="112" t="s">
        <v>2629</v>
      </c>
      <c r="H76" s="114" t="s">
        <v>1442</v>
      </c>
      <c r="I76" s="112">
        <f t="shared" si="16"/>
        <v>3</v>
      </c>
      <c r="J76" s="112">
        <f t="shared" si="17"/>
        <v>0</v>
      </c>
      <c r="K76" s="115" t="s">
        <v>2650</v>
      </c>
      <c r="L76" s="115" t="s">
        <v>2730</v>
      </c>
      <c r="M76" s="115" t="s">
        <v>2651</v>
      </c>
      <c r="N76" s="115">
        <v>54096</v>
      </c>
      <c r="O76" s="112">
        <v>1</v>
      </c>
      <c r="P76" s="116" t="s">
        <v>2713</v>
      </c>
      <c r="Q76" s="112" t="str">
        <f t="shared" si="18"/>
        <v/>
      </c>
      <c r="R76" s="112" t="str">
        <f t="shared" si="19"/>
        <v/>
      </c>
      <c r="S76" s="112" t="str">
        <f t="shared" si="22"/>
        <v/>
      </c>
      <c r="T76" s="112" t="str">
        <f t="shared" si="23"/>
        <v/>
      </c>
      <c r="U76" s="112" t="str">
        <f t="shared" si="24"/>
        <v/>
      </c>
      <c r="V76" s="112" t="str">
        <f t="shared" si="25"/>
        <v/>
      </c>
      <c r="W76" s="112" t="str">
        <f t="shared" si="26"/>
        <v/>
      </c>
      <c r="X76" s="112" t="str">
        <f t="shared" si="20"/>
        <v/>
      </c>
      <c r="Y76" s="112" t="str">
        <f t="shared" si="21"/>
        <v/>
      </c>
      <c r="Z76" s="112" t="str">
        <f t="shared" si="27"/>
        <v/>
      </c>
      <c r="AA76" s="112" t="str">
        <f t="shared" si="28"/>
        <v/>
      </c>
      <c r="AB76" s="112" t="str">
        <f t="shared" si="29"/>
        <v/>
      </c>
      <c r="AC76" s="112" t="str">
        <f t="shared" si="30"/>
        <v/>
      </c>
      <c r="AD76" s="112" t="str">
        <f t="shared" si="31"/>
        <v/>
      </c>
    </row>
    <row r="77" spans="1:33" x14ac:dyDescent="0.2">
      <c r="A77" s="112" t="str">
        <f>IF(SUM(Q77:R77)=1,1+MAX($A$1:A76),"")</f>
        <v/>
      </c>
      <c r="B77" s="112" t="str">
        <f>IF(SUM(X77:Y77)=1,1+MAX($B$1:B76),"")</f>
        <v/>
      </c>
      <c r="C77" s="112" t="str">
        <f>IF(SUM(Q77:R77,X77:Y77)=2,1+MAX($C$1:C76),"")</f>
        <v/>
      </c>
      <c r="D77" s="113">
        <v>40357</v>
      </c>
      <c r="E77" s="112">
        <v>2010</v>
      </c>
      <c r="F77" s="112" t="s">
        <v>2629</v>
      </c>
      <c r="H77" s="114" t="s">
        <v>2604</v>
      </c>
      <c r="I77" s="112">
        <f t="shared" si="16"/>
        <v>2</v>
      </c>
      <c r="J77" s="112">
        <f t="shared" si="17"/>
        <v>1</v>
      </c>
      <c r="K77" s="115" t="s">
        <v>2738</v>
      </c>
      <c r="L77" s="115" t="s">
        <v>2726</v>
      </c>
      <c r="M77" s="115" t="s">
        <v>2739</v>
      </c>
      <c r="N77" s="115">
        <v>61962</v>
      </c>
      <c r="O77" s="112">
        <v>1</v>
      </c>
      <c r="P77" s="116" t="s">
        <v>2626</v>
      </c>
      <c r="Q77" s="112" t="str">
        <f t="shared" si="18"/>
        <v/>
      </c>
      <c r="R77" s="112" t="str">
        <f t="shared" si="19"/>
        <v/>
      </c>
      <c r="S77" s="112" t="str">
        <f t="shared" si="22"/>
        <v/>
      </c>
      <c r="T77" s="112" t="str">
        <f t="shared" si="23"/>
        <v/>
      </c>
      <c r="U77" s="112" t="str">
        <f t="shared" si="24"/>
        <v/>
      </c>
      <c r="V77" s="112" t="str">
        <f t="shared" si="25"/>
        <v/>
      </c>
      <c r="W77" s="112" t="str">
        <f t="shared" si="26"/>
        <v/>
      </c>
      <c r="X77" s="112" t="str">
        <f t="shared" si="20"/>
        <v/>
      </c>
      <c r="Y77" s="112" t="str">
        <f t="shared" si="21"/>
        <v/>
      </c>
      <c r="Z77" s="112" t="str">
        <f t="shared" si="27"/>
        <v/>
      </c>
      <c r="AA77" s="112" t="str">
        <f t="shared" si="28"/>
        <v/>
      </c>
      <c r="AB77" s="112" t="str">
        <f t="shared" si="29"/>
        <v/>
      </c>
      <c r="AC77" s="112" t="str">
        <f t="shared" si="30"/>
        <v/>
      </c>
      <c r="AD77" s="112" t="str">
        <f t="shared" si="31"/>
        <v/>
      </c>
    </row>
    <row r="78" spans="1:33" x14ac:dyDescent="0.2">
      <c r="A78" s="112" t="str">
        <f>IF(SUM(Q78:R78)=1,1+MAX($A$1:A77),"")</f>
        <v/>
      </c>
      <c r="B78" s="112">
        <f>IF(SUM(X78:Y78)=1,1+MAX($B$1:B77),"")</f>
        <v>9</v>
      </c>
      <c r="C78" s="112" t="str">
        <f>IF(SUM(Q78:R78,X78:Y78)=2,1+MAX($C$1:C77),"")</f>
        <v/>
      </c>
      <c r="D78" s="113">
        <v>40356</v>
      </c>
      <c r="E78" s="112">
        <v>2010</v>
      </c>
      <c r="F78" s="112" t="s">
        <v>2629</v>
      </c>
      <c r="H78" s="114" t="s">
        <v>1134</v>
      </c>
      <c r="I78" s="112">
        <f t="shared" si="16"/>
        <v>3</v>
      </c>
      <c r="J78" s="112">
        <f t="shared" si="17"/>
        <v>1</v>
      </c>
      <c r="K78" s="115" t="s">
        <v>1061</v>
      </c>
      <c r="L78" s="115" t="s">
        <v>2722</v>
      </c>
      <c r="M78" s="115" t="s">
        <v>2740</v>
      </c>
      <c r="N78" s="115">
        <v>84377</v>
      </c>
      <c r="O78" s="112">
        <v>1</v>
      </c>
      <c r="P78" s="116" t="s">
        <v>2663</v>
      </c>
      <c r="Q78" s="112" t="str">
        <f t="shared" si="18"/>
        <v/>
      </c>
      <c r="R78" s="112" t="str">
        <f t="shared" si="19"/>
        <v/>
      </c>
      <c r="S78" s="112" t="str">
        <f t="shared" si="22"/>
        <v/>
      </c>
      <c r="T78" s="112" t="str">
        <f t="shared" si="23"/>
        <v/>
      </c>
      <c r="U78" s="112" t="str">
        <f t="shared" si="24"/>
        <v/>
      </c>
      <c r="V78" s="112" t="str">
        <f t="shared" si="25"/>
        <v/>
      </c>
      <c r="W78" s="112" t="str">
        <f t="shared" si="26"/>
        <v/>
      </c>
      <c r="X78" s="112">
        <f t="shared" si="20"/>
        <v>1</v>
      </c>
      <c r="Y78" s="112" t="str">
        <f t="shared" si="21"/>
        <v/>
      </c>
      <c r="Z78" s="112">
        <f t="shared" si="27"/>
        <v>1</v>
      </c>
      <c r="AA78" s="112">
        <f t="shared" si="28"/>
        <v>0</v>
      </c>
      <c r="AB78" s="112">
        <f t="shared" si="29"/>
        <v>0</v>
      </c>
      <c r="AC78" s="112">
        <f t="shared" si="30"/>
        <v>4</v>
      </c>
      <c r="AD78" s="112">
        <f t="shared" si="31"/>
        <v>2</v>
      </c>
    </row>
    <row r="79" spans="1:33" x14ac:dyDescent="0.2">
      <c r="A79" s="112">
        <f>IF(SUM(Q79:R79)=1,1+MAX($A$1:A78),"")</f>
        <v>4</v>
      </c>
      <c r="B79" s="112" t="str">
        <f>IF(SUM(X79:Y79)=1,1+MAX($B$1:B78),"")</f>
        <v/>
      </c>
      <c r="C79" s="112" t="str">
        <f>IF(SUM(Q79:R79,X79:Y79)=2,1+MAX($C$1:C78),"")</f>
        <v/>
      </c>
      <c r="D79" s="113">
        <v>40356</v>
      </c>
      <c r="E79" s="112">
        <v>2010</v>
      </c>
      <c r="F79" s="112" t="s">
        <v>2629</v>
      </c>
      <c r="H79" s="114" t="s">
        <v>2545</v>
      </c>
      <c r="I79" s="112">
        <f t="shared" si="16"/>
        <v>1</v>
      </c>
      <c r="J79" s="112">
        <f t="shared" si="17"/>
        <v>4</v>
      </c>
      <c r="K79" s="115" t="s">
        <v>2547</v>
      </c>
      <c r="L79" s="115" t="s">
        <v>2741</v>
      </c>
      <c r="M79" s="115" t="s">
        <v>2742</v>
      </c>
      <c r="N79" s="115">
        <v>40510</v>
      </c>
      <c r="O79" s="112">
        <v>1</v>
      </c>
      <c r="P79" s="116" t="s">
        <v>2743</v>
      </c>
      <c r="Q79" s="112">
        <f t="shared" si="18"/>
        <v>1</v>
      </c>
      <c r="R79" s="112" t="str">
        <f t="shared" si="19"/>
        <v/>
      </c>
      <c r="S79" s="112">
        <f t="shared" si="22"/>
        <v>0</v>
      </c>
      <c r="T79" s="112">
        <f t="shared" si="23"/>
        <v>0</v>
      </c>
      <c r="U79" s="112">
        <f t="shared" si="24"/>
        <v>1</v>
      </c>
      <c r="V79" s="112">
        <f t="shared" si="25"/>
        <v>5</v>
      </c>
      <c r="W79" s="112">
        <f t="shared" si="26"/>
        <v>-3</v>
      </c>
      <c r="X79" s="112" t="str">
        <f t="shared" si="20"/>
        <v/>
      </c>
      <c r="Y79" s="112" t="str">
        <f t="shared" si="21"/>
        <v/>
      </c>
      <c r="Z79" s="112" t="str">
        <f t="shared" si="27"/>
        <v/>
      </c>
      <c r="AA79" s="112" t="str">
        <f t="shared" si="28"/>
        <v/>
      </c>
      <c r="AB79" s="112" t="str">
        <f t="shared" si="29"/>
        <v/>
      </c>
      <c r="AC79" s="112" t="str">
        <f t="shared" si="30"/>
        <v/>
      </c>
      <c r="AD79" s="112" t="str">
        <f t="shared" si="31"/>
        <v/>
      </c>
    </row>
    <row r="80" spans="1:33" x14ac:dyDescent="0.2">
      <c r="A80" s="112" t="str">
        <f>IF(SUM(Q80:R80)=1,1+MAX($A$1:A79),"")</f>
        <v/>
      </c>
      <c r="B80" s="112" t="str">
        <f>IF(SUM(X80:Y80)=1,1+MAX($B$1:B79),"")</f>
        <v/>
      </c>
      <c r="C80" s="112" t="str">
        <f>IF(SUM(Q80:R80,X80:Y80)=2,1+MAX($C$1:C79),"")</f>
        <v/>
      </c>
      <c r="D80" s="113">
        <v>40355</v>
      </c>
      <c r="E80" s="112">
        <v>2010</v>
      </c>
      <c r="F80" s="112" t="s">
        <v>2629</v>
      </c>
      <c r="H80" s="114" t="s">
        <v>2658</v>
      </c>
      <c r="I80" s="112">
        <f t="shared" si="16"/>
        <v>2</v>
      </c>
      <c r="J80" s="112">
        <f t="shared" si="17"/>
        <v>1</v>
      </c>
      <c r="K80" s="115" t="s">
        <v>2614</v>
      </c>
      <c r="L80" s="115" t="s">
        <v>2744</v>
      </c>
      <c r="M80" s="115" t="s">
        <v>2727</v>
      </c>
      <c r="N80" s="115">
        <v>34976</v>
      </c>
      <c r="O80" s="112">
        <v>3</v>
      </c>
      <c r="P80" s="116" t="s">
        <v>2626</v>
      </c>
      <c r="Q80" s="112" t="str">
        <f t="shared" si="18"/>
        <v/>
      </c>
      <c r="R80" s="112" t="str">
        <f t="shared" si="19"/>
        <v/>
      </c>
      <c r="S80" s="112" t="str">
        <f t="shared" si="22"/>
        <v/>
      </c>
      <c r="T80" s="112" t="str">
        <f t="shared" si="23"/>
        <v/>
      </c>
      <c r="U80" s="112" t="str">
        <f t="shared" si="24"/>
        <v/>
      </c>
      <c r="V80" s="112" t="str">
        <f t="shared" si="25"/>
        <v/>
      </c>
      <c r="W80" s="112" t="str">
        <f t="shared" si="26"/>
        <v/>
      </c>
      <c r="X80" s="112" t="str">
        <f t="shared" si="20"/>
        <v/>
      </c>
      <c r="Y80" s="112" t="str">
        <f t="shared" si="21"/>
        <v/>
      </c>
      <c r="Z80" s="112" t="str">
        <f t="shared" si="27"/>
        <v/>
      </c>
      <c r="AA80" s="112" t="str">
        <f t="shared" si="28"/>
        <v/>
      </c>
      <c r="AB80" s="112" t="str">
        <f t="shared" si="29"/>
        <v/>
      </c>
      <c r="AC80" s="112" t="str">
        <f t="shared" si="30"/>
        <v/>
      </c>
      <c r="AD80" s="112" t="str">
        <f t="shared" si="31"/>
        <v/>
      </c>
    </row>
    <row r="81" spans="1:30" x14ac:dyDescent="0.2">
      <c r="A81" s="112" t="str">
        <f>IF(SUM(Q81:R81)=1,1+MAX($A$1:A80),"")</f>
        <v/>
      </c>
      <c r="B81" s="112" t="str">
        <f>IF(SUM(X81:Y81)=1,1+MAX($B$1:B80),"")</f>
        <v/>
      </c>
      <c r="C81" s="112" t="str">
        <f>IF(SUM(Q81:R81,X81:Y81)=2,1+MAX($C$1:C80),"")</f>
        <v/>
      </c>
      <c r="D81" s="113">
        <v>40355</v>
      </c>
      <c r="E81" s="112">
        <v>2010</v>
      </c>
      <c r="F81" s="112" t="s">
        <v>2629</v>
      </c>
      <c r="H81" s="114" t="s">
        <v>2543</v>
      </c>
      <c r="I81" s="112">
        <f t="shared" si="16"/>
        <v>1</v>
      </c>
      <c r="J81" s="112">
        <f t="shared" si="17"/>
        <v>2</v>
      </c>
      <c r="K81" s="115" t="s">
        <v>2540</v>
      </c>
      <c r="L81" s="115" t="s">
        <v>2723</v>
      </c>
      <c r="M81" s="115" t="s">
        <v>2745</v>
      </c>
      <c r="N81" s="115">
        <v>30597</v>
      </c>
      <c r="O81" s="112">
        <v>2</v>
      </c>
      <c r="P81" s="116" t="s">
        <v>2638</v>
      </c>
      <c r="Q81" s="112" t="str">
        <f t="shared" si="18"/>
        <v/>
      </c>
      <c r="R81" s="112" t="str">
        <f t="shared" si="19"/>
        <v/>
      </c>
      <c r="S81" s="112" t="str">
        <f t="shared" si="22"/>
        <v/>
      </c>
      <c r="T81" s="112" t="str">
        <f t="shared" si="23"/>
        <v/>
      </c>
      <c r="U81" s="112" t="str">
        <f t="shared" si="24"/>
        <v/>
      </c>
      <c r="V81" s="112" t="str">
        <f t="shared" si="25"/>
        <v/>
      </c>
      <c r="W81" s="112" t="str">
        <f t="shared" si="26"/>
        <v/>
      </c>
      <c r="X81" s="112" t="str">
        <f t="shared" si="20"/>
        <v/>
      </c>
      <c r="Y81" s="112" t="str">
        <f t="shared" si="21"/>
        <v/>
      </c>
      <c r="Z81" s="112" t="str">
        <f t="shared" si="27"/>
        <v/>
      </c>
      <c r="AA81" s="112" t="str">
        <f t="shared" si="28"/>
        <v/>
      </c>
      <c r="AB81" s="112" t="str">
        <f t="shared" si="29"/>
        <v/>
      </c>
      <c r="AC81" s="112" t="str">
        <f t="shared" si="30"/>
        <v/>
      </c>
      <c r="AD81" s="112" t="str">
        <f t="shared" si="31"/>
        <v/>
      </c>
    </row>
    <row r="82" spans="1:30" x14ac:dyDescent="0.2">
      <c r="A82" s="112" t="str">
        <f>IF(SUM(Q82:R82)=1,1+MAX($A$1:A81),"")</f>
        <v/>
      </c>
      <c r="B82" s="112" t="str">
        <f>IF(SUM(X82:Y82)=1,1+MAX($B$1:B81),"")</f>
        <v/>
      </c>
      <c r="C82" s="112" t="str">
        <f>IF(SUM(Q82:R82,X82:Y82)=2,1+MAX($C$1:C81),"")</f>
        <v/>
      </c>
      <c r="D82" s="113">
        <v>40354</v>
      </c>
      <c r="E82" s="112">
        <v>2010</v>
      </c>
      <c r="F82" s="112" t="s">
        <v>2652</v>
      </c>
      <c r="G82" s="112" t="s">
        <v>2653</v>
      </c>
      <c r="H82" s="114" t="s">
        <v>2669</v>
      </c>
      <c r="I82" s="112">
        <f t="shared" si="16"/>
        <v>0</v>
      </c>
      <c r="J82" s="112">
        <f t="shared" si="17"/>
        <v>0</v>
      </c>
      <c r="K82" s="115" t="s">
        <v>2558</v>
      </c>
      <c r="L82" s="115" t="s">
        <v>2741</v>
      </c>
      <c r="M82" s="115" t="s">
        <v>2735</v>
      </c>
      <c r="N82" s="115">
        <v>28042</v>
      </c>
      <c r="O82" s="112">
        <v>1</v>
      </c>
      <c r="P82" s="116" t="s">
        <v>2613</v>
      </c>
      <c r="Q82" s="112" t="str">
        <f t="shared" si="18"/>
        <v/>
      </c>
      <c r="R82" s="112" t="str">
        <f t="shared" si="19"/>
        <v/>
      </c>
      <c r="S82" s="112" t="str">
        <f t="shared" si="22"/>
        <v/>
      </c>
      <c r="T82" s="112" t="str">
        <f t="shared" si="23"/>
        <v/>
      </c>
      <c r="U82" s="112" t="str">
        <f t="shared" si="24"/>
        <v/>
      </c>
      <c r="V82" s="112" t="str">
        <f t="shared" si="25"/>
        <v/>
      </c>
      <c r="W82" s="112" t="str">
        <f t="shared" si="26"/>
        <v/>
      </c>
      <c r="X82" s="112" t="str">
        <f t="shared" si="20"/>
        <v/>
      </c>
      <c r="Y82" s="112" t="str">
        <f t="shared" si="21"/>
        <v/>
      </c>
      <c r="Z82" s="112" t="str">
        <f t="shared" si="27"/>
        <v/>
      </c>
      <c r="AA82" s="112" t="str">
        <f t="shared" si="28"/>
        <v/>
      </c>
      <c r="AB82" s="112" t="str">
        <f t="shared" si="29"/>
        <v/>
      </c>
      <c r="AC82" s="112" t="str">
        <f t="shared" si="30"/>
        <v/>
      </c>
      <c r="AD82" s="112" t="str">
        <f t="shared" si="31"/>
        <v/>
      </c>
    </row>
    <row r="83" spans="1:30" x14ac:dyDescent="0.2">
      <c r="A83" s="112" t="str">
        <f>IF(SUM(Q83:R83)=1,1+MAX($A$1:A82),"")</f>
        <v/>
      </c>
      <c r="B83" s="112" t="str">
        <f>IF(SUM(X83:Y83)=1,1+MAX($B$1:B82),"")</f>
        <v/>
      </c>
      <c r="C83" s="112" t="str">
        <f>IF(SUM(Q83:R83,X83:Y83)=2,1+MAX($C$1:C82),"")</f>
        <v/>
      </c>
      <c r="D83" s="113">
        <v>40354</v>
      </c>
      <c r="E83" s="112">
        <v>2010</v>
      </c>
      <c r="F83" s="112" t="s">
        <v>2652</v>
      </c>
      <c r="G83" s="112" t="s">
        <v>2653</v>
      </c>
      <c r="H83" s="114" t="s">
        <v>2650</v>
      </c>
      <c r="I83" s="112">
        <f t="shared" si="16"/>
        <v>1</v>
      </c>
      <c r="J83" s="112">
        <f t="shared" si="17"/>
        <v>2</v>
      </c>
      <c r="K83" s="115" t="s">
        <v>2557</v>
      </c>
      <c r="L83" s="115" t="s">
        <v>2736</v>
      </c>
      <c r="M83" s="115" t="s">
        <v>2616</v>
      </c>
      <c r="N83" s="115">
        <v>41958</v>
      </c>
      <c r="O83" s="112">
        <v>1</v>
      </c>
      <c r="P83" s="116" t="s">
        <v>2638</v>
      </c>
      <c r="Q83" s="112" t="str">
        <f t="shared" si="18"/>
        <v/>
      </c>
      <c r="R83" s="112" t="str">
        <f t="shared" si="19"/>
        <v/>
      </c>
      <c r="S83" s="112" t="str">
        <f t="shared" si="22"/>
        <v/>
      </c>
      <c r="T83" s="112" t="str">
        <f t="shared" si="23"/>
        <v/>
      </c>
      <c r="U83" s="112" t="str">
        <f t="shared" si="24"/>
        <v/>
      </c>
      <c r="V83" s="112" t="str">
        <f t="shared" si="25"/>
        <v/>
      </c>
      <c r="W83" s="112" t="str">
        <f t="shared" si="26"/>
        <v/>
      </c>
      <c r="X83" s="112" t="str">
        <f t="shared" si="20"/>
        <v/>
      </c>
      <c r="Y83" s="112" t="str">
        <f t="shared" si="21"/>
        <v/>
      </c>
      <c r="Z83" s="112" t="str">
        <f t="shared" si="27"/>
        <v/>
      </c>
      <c r="AA83" s="112" t="str">
        <f t="shared" si="28"/>
        <v/>
      </c>
      <c r="AB83" s="112" t="str">
        <f t="shared" si="29"/>
        <v/>
      </c>
      <c r="AC83" s="112" t="str">
        <f t="shared" si="30"/>
        <v/>
      </c>
      <c r="AD83" s="112" t="str">
        <f t="shared" si="31"/>
        <v/>
      </c>
    </row>
    <row r="84" spans="1:30" x14ac:dyDescent="0.2">
      <c r="A84" s="112" t="str">
        <f>IF(SUM(Q84:R84)=1,1+MAX($A$1:A83),"")</f>
        <v/>
      </c>
      <c r="B84" s="112" t="str">
        <f>IF(SUM(X84:Y84)=1,1+MAX($B$1:B83),"")</f>
        <v/>
      </c>
      <c r="C84" s="112" t="str">
        <f>IF(SUM(Q84:R84,X84:Y84)=2,1+MAX($C$1:C83),"")</f>
        <v/>
      </c>
      <c r="D84" s="113">
        <v>40354</v>
      </c>
      <c r="E84" s="112">
        <v>2010</v>
      </c>
      <c r="F84" s="112" t="s">
        <v>2656</v>
      </c>
      <c r="G84" s="112" t="s">
        <v>2657</v>
      </c>
      <c r="H84" s="114" t="s">
        <v>2679</v>
      </c>
      <c r="I84" s="112">
        <f t="shared" si="16"/>
        <v>3</v>
      </c>
      <c r="J84" s="112">
        <f t="shared" si="17"/>
        <v>0</v>
      </c>
      <c r="K84" s="115" t="s">
        <v>2716</v>
      </c>
      <c r="L84" s="115" t="s">
        <v>2746</v>
      </c>
      <c r="M84" s="115" t="s">
        <v>2739</v>
      </c>
      <c r="N84" s="115">
        <v>34763</v>
      </c>
      <c r="O84" s="112">
        <v>1</v>
      </c>
      <c r="P84" s="116" t="s">
        <v>2713</v>
      </c>
      <c r="Q84" s="112" t="str">
        <f t="shared" si="18"/>
        <v/>
      </c>
      <c r="R84" s="112" t="str">
        <f t="shared" si="19"/>
        <v/>
      </c>
      <c r="S84" s="112" t="str">
        <f t="shared" si="22"/>
        <v/>
      </c>
      <c r="T84" s="112" t="str">
        <f t="shared" si="23"/>
        <v/>
      </c>
      <c r="U84" s="112" t="str">
        <f t="shared" si="24"/>
        <v/>
      </c>
      <c r="V84" s="112" t="str">
        <f t="shared" si="25"/>
        <v/>
      </c>
      <c r="W84" s="112" t="str">
        <f t="shared" si="26"/>
        <v/>
      </c>
      <c r="X84" s="112" t="str">
        <f t="shared" si="20"/>
        <v/>
      </c>
      <c r="Y84" s="112" t="str">
        <f t="shared" si="21"/>
        <v/>
      </c>
      <c r="Z84" s="112" t="str">
        <f t="shared" si="27"/>
        <v/>
      </c>
      <c r="AA84" s="112" t="str">
        <f t="shared" si="28"/>
        <v/>
      </c>
      <c r="AB84" s="112" t="str">
        <f t="shared" si="29"/>
        <v/>
      </c>
      <c r="AC84" s="112" t="str">
        <f t="shared" si="30"/>
        <v/>
      </c>
      <c r="AD84" s="112" t="str">
        <f t="shared" si="31"/>
        <v/>
      </c>
    </row>
    <row r="85" spans="1:30" x14ac:dyDescent="0.2">
      <c r="A85" s="112" t="str">
        <f>IF(SUM(Q85:R85)=1,1+MAX($A$1:A84),"")</f>
        <v/>
      </c>
      <c r="B85" s="112" t="str">
        <f>IF(SUM(X85:Y85)=1,1+MAX($B$1:B84),"")</f>
        <v/>
      </c>
      <c r="C85" s="112" t="str">
        <f>IF(SUM(Q85:R85,X85:Y85)=2,1+MAX($C$1:C84),"")</f>
        <v/>
      </c>
      <c r="D85" s="113">
        <v>40354</v>
      </c>
      <c r="E85" s="112">
        <v>2010</v>
      </c>
      <c r="F85" s="112" t="s">
        <v>2656</v>
      </c>
      <c r="G85" s="112" t="s">
        <v>2657</v>
      </c>
      <c r="H85" s="114" t="s">
        <v>1442</v>
      </c>
      <c r="I85" s="112">
        <f t="shared" si="16"/>
        <v>0</v>
      </c>
      <c r="J85" s="112">
        <f t="shared" si="17"/>
        <v>0</v>
      </c>
      <c r="K85" s="115" t="s">
        <v>2556</v>
      </c>
      <c r="L85" s="115" t="s">
        <v>2726</v>
      </c>
      <c r="M85" s="115" t="s">
        <v>2724</v>
      </c>
      <c r="N85" s="115">
        <v>62712</v>
      </c>
      <c r="O85" s="112">
        <v>1</v>
      </c>
      <c r="P85" s="116" t="s">
        <v>2613</v>
      </c>
      <c r="Q85" s="112" t="str">
        <f t="shared" si="18"/>
        <v/>
      </c>
      <c r="R85" s="112" t="str">
        <f t="shared" si="19"/>
        <v/>
      </c>
      <c r="S85" s="112" t="str">
        <f t="shared" si="22"/>
        <v/>
      </c>
      <c r="T85" s="112" t="str">
        <f t="shared" si="23"/>
        <v/>
      </c>
      <c r="U85" s="112" t="str">
        <f t="shared" si="24"/>
        <v/>
      </c>
      <c r="V85" s="112" t="str">
        <f t="shared" si="25"/>
        <v/>
      </c>
      <c r="W85" s="112" t="str">
        <f t="shared" si="26"/>
        <v/>
      </c>
      <c r="X85" s="112" t="str">
        <f t="shared" si="20"/>
        <v/>
      </c>
      <c r="Y85" s="112" t="str">
        <f t="shared" si="21"/>
        <v/>
      </c>
      <c r="Z85" s="112" t="str">
        <f t="shared" si="27"/>
        <v/>
      </c>
      <c r="AA85" s="112" t="str">
        <f t="shared" si="28"/>
        <v/>
      </c>
      <c r="AB85" s="112" t="str">
        <f t="shared" si="29"/>
        <v/>
      </c>
      <c r="AC85" s="112" t="str">
        <f t="shared" si="30"/>
        <v/>
      </c>
      <c r="AD85" s="112" t="str">
        <f t="shared" si="31"/>
        <v/>
      </c>
    </row>
    <row r="86" spans="1:30" x14ac:dyDescent="0.2">
      <c r="A86" s="112" t="str">
        <f>IF(SUM(Q86:R86)=1,1+MAX($A$1:A85),"")</f>
        <v/>
      </c>
      <c r="B86" s="112" t="str">
        <f>IF(SUM(X86:Y86)=1,1+MAX($B$1:B85),"")</f>
        <v/>
      </c>
      <c r="C86" s="112" t="str">
        <f>IF(SUM(Q86:R86,X86:Y86)=2,1+MAX($C$1:C85),"")</f>
        <v/>
      </c>
      <c r="D86" s="113">
        <v>40353</v>
      </c>
      <c r="E86" s="112">
        <v>2010</v>
      </c>
      <c r="F86" s="112" t="s">
        <v>2661</v>
      </c>
      <c r="G86" s="112" t="s">
        <v>2662</v>
      </c>
      <c r="H86" s="114" t="s">
        <v>2733</v>
      </c>
      <c r="I86" s="112">
        <f t="shared" si="16"/>
        <v>0</v>
      </c>
      <c r="J86" s="112">
        <f t="shared" si="17"/>
        <v>0</v>
      </c>
      <c r="K86" s="115" t="s">
        <v>2709</v>
      </c>
      <c r="L86" s="115" t="s">
        <v>2747</v>
      </c>
      <c r="M86" s="115" t="s">
        <v>2748</v>
      </c>
      <c r="N86" s="115">
        <v>34850</v>
      </c>
      <c r="O86" s="112">
        <v>1</v>
      </c>
      <c r="P86" s="116" t="s">
        <v>2613</v>
      </c>
      <c r="Q86" s="112" t="str">
        <f t="shared" si="18"/>
        <v/>
      </c>
      <c r="R86" s="112" t="str">
        <f t="shared" si="19"/>
        <v/>
      </c>
      <c r="S86" s="112" t="str">
        <f t="shared" si="22"/>
        <v/>
      </c>
      <c r="T86" s="112" t="str">
        <f t="shared" si="23"/>
        <v/>
      </c>
      <c r="U86" s="112" t="str">
        <f t="shared" si="24"/>
        <v/>
      </c>
      <c r="V86" s="112" t="str">
        <f t="shared" si="25"/>
        <v/>
      </c>
      <c r="W86" s="112" t="str">
        <f t="shared" si="26"/>
        <v/>
      </c>
      <c r="X86" s="112" t="str">
        <f t="shared" si="20"/>
        <v/>
      </c>
      <c r="Y86" s="112" t="str">
        <f t="shared" si="21"/>
        <v/>
      </c>
      <c r="Z86" s="112" t="str">
        <f t="shared" si="27"/>
        <v/>
      </c>
      <c r="AA86" s="112" t="str">
        <f t="shared" si="28"/>
        <v/>
      </c>
      <c r="AB86" s="112" t="str">
        <f t="shared" si="29"/>
        <v/>
      </c>
      <c r="AC86" s="112" t="str">
        <f t="shared" si="30"/>
        <v/>
      </c>
      <c r="AD86" s="112" t="str">
        <f t="shared" si="31"/>
        <v/>
      </c>
    </row>
    <row r="87" spans="1:30" x14ac:dyDescent="0.2">
      <c r="A87" s="112" t="str">
        <f>IF(SUM(Q87:R87)=1,1+MAX($A$1:A86),"")</f>
        <v/>
      </c>
      <c r="B87" s="112" t="str">
        <f>IF(SUM(X87:Y87)=1,1+MAX($B$1:B86),"")</f>
        <v/>
      </c>
      <c r="C87" s="112" t="str">
        <f>IF(SUM(Q87:R87,X87:Y87)=2,1+MAX($C$1:C86),"")</f>
        <v/>
      </c>
      <c r="D87" s="113">
        <v>40353</v>
      </c>
      <c r="E87" s="112">
        <v>2010</v>
      </c>
      <c r="F87" s="112" t="s">
        <v>2661</v>
      </c>
      <c r="G87" s="112" t="s">
        <v>2662</v>
      </c>
      <c r="H87" s="114" t="s">
        <v>2674</v>
      </c>
      <c r="I87" s="112">
        <f t="shared" si="16"/>
        <v>2</v>
      </c>
      <c r="J87" s="112">
        <f t="shared" si="17"/>
        <v>3</v>
      </c>
      <c r="K87" s="115" t="s">
        <v>2738</v>
      </c>
      <c r="L87" s="115" t="s">
        <v>2730</v>
      </c>
      <c r="M87" s="115" t="s">
        <v>2651</v>
      </c>
      <c r="N87" s="115">
        <v>53412</v>
      </c>
      <c r="O87" s="112">
        <v>1</v>
      </c>
      <c r="P87" s="116" t="s">
        <v>2706</v>
      </c>
      <c r="Q87" s="112" t="str">
        <f t="shared" si="18"/>
        <v/>
      </c>
      <c r="R87" s="112" t="str">
        <f t="shared" si="19"/>
        <v/>
      </c>
      <c r="S87" s="112" t="str">
        <f t="shared" si="22"/>
        <v/>
      </c>
      <c r="T87" s="112" t="str">
        <f t="shared" si="23"/>
        <v/>
      </c>
      <c r="U87" s="112" t="str">
        <f t="shared" si="24"/>
        <v/>
      </c>
      <c r="V87" s="112" t="str">
        <f t="shared" si="25"/>
        <v/>
      </c>
      <c r="W87" s="112" t="str">
        <f t="shared" si="26"/>
        <v/>
      </c>
      <c r="X87" s="112" t="str">
        <f t="shared" si="20"/>
        <v/>
      </c>
      <c r="Y87" s="112" t="str">
        <f t="shared" si="21"/>
        <v/>
      </c>
      <c r="Z87" s="112" t="str">
        <f t="shared" si="27"/>
        <v/>
      </c>
      <c r="AA87" s="112" t="str">
        <f t="shared" si="28"/>
        <v/>
      </c>
      <c r="AB87" s="112" t="str">
        <f t="shared" si="29"/>
        <v/>
      </c>
      <c r="AC87" s="112" t="str">
        <f t="shared" si="30"/>
        <v/>
      </c>
      <c r="AD87" s="112" t="str">
        <f t="shared" si="31"/>
        <v/>
      </c>
    </row>
    <row r="88" spans="1:30" x14ac:dyDescent="0.2">
      <c r="A88" s="112" t="str">
        <f>IF(SUM(Q88:R88)=1,1+MAX($A$1:A87),"")</f>
        <v/>
      </c>
      <c r="B88" s="112" t="str">
        <f>IF(SUM(X88:Y88)=1,1+MAX($B$1:B87),"")</f>
        <v/>
      </c>
      <c r="C88" s="112" t="str">
        <f>IF(SUM(Q88:R88,X88:Y88)=2,1+MAX($C$1:C87),"")</f>
        <v/>
      </c>
      <c r="D88" s="113">
        <v>40353</v>
      </c>
      <c r="E88" s="112">
        <v>2010</v>
      </c>
      <c r="F88" s="112" t="s">
        <v>2666</v>
      </c>
      <c r="G88" s="112" t="s">
        <v>2667</v>
      </c>
      <c r="H88" s="114" t="s">
        <v>2693</v>
      </c>
      <c r="I88" s="112">
        <f t="shared" si="16"/>
        <v>1</v>
      </c>
      <c r="J88" s="112">
        <f t="shared" si="17"/>
        <v>2</v>
      </c>
      <c r="K88" s="115" t="s">
        <v>2604</v>
      </c>
      <c r="L88" s="115" t="s">
        <v>2729</v>
      </c>
      <c r="M88" s="115" t="s">
        <v>2749</v>
      </c>
      <c r="N88" s="115">
        <v>63093</v>
      </c>
      <c r="O88" s="112">
        <v>1</v>
      </c>
      <c r="P88" s="116" t="s">
        <v>2638</v>
      </c>
      <c r="Q88" s="112" t="str">
        <f t="shared" si="18"/>
        <v/>
      </c>
      <c r="R88" s="112" t="str">
        <f t="shared" si="19"/>
        <v/>
      </c>
      <c r="S88" s="112" t="str">
        <f t="shared" si="22"/>
        <v/>
      </c>
      <c r="T88" s="112" t="str">
        <f t="shared" si="23"/>
        <v/>
      </c>
      <c r="U88" s="112" t="str">
        <f t="shared" si="24"/>
        <v/>
      </c>
      <c r="V88" s="112" t="str">
        <f t="shared" si="25"/>
        <v/>
      </c>
      <c r="W88" s="112" t="str">
        <f t="shared" si="26"/>
        <v/>
      </c>
      <c r="X88" s="112" t="str">
        <f t="shared" si="20"/>
        <v/>
      </c>
      <c r="Y88" s="112" t="str">
        <f t="shared" si="21"/>
        <v/>
      </c>
      <c r="Z88" s="112" t="str">
        <f t="shared" si="27"/>
        <v/>
      </c>
      <c r="AA88" s="112" t="str">
        <f t="shared" si="28"/>
        <v/>
      </c>
      <c r="AB88" s="112" t="str">
        <f t="shared" si="29"/>
        <v/>
      </c>
      <c r="AC88" s="112" t="str">
        <f t="shared" si="30"/>
        <v/>
      </c>
      <c r="AD88" s="112" t="str">
        <f t="shared" si="31"/>
        <v/>
      </c>
    </row>
    <row r="89" spans="1:30" x14ac:dyDescent="0.2">
      <c r="A89" s="112" t="str">
        <f>IF(SUM(Q89:R89)=1,1+MAX($A$1:A88),"")</f>
        <v/>
      </c>
      <c r="B89" s="112" t="str">
        <f>IF(SUM(X89:Y89)=1,1+MAX($B$1:B88),"")</f>
        <v/>
      </c>
      <c r="C89" s="112" t="str">
        <f>IF(SUM(Q89:R89,X89:Y89)=2,1+MAX($C$1:C88),"")</f>
        <v/>
      </c>
      <c r="D89" s="113">
        <v>40353</v>
      </c>
      <c r="E89" s="112">
        <v>2010</v>
      </c>
      <c r="F89" s="112" t="s">
        <v>2666</v>
      </c>
      <c r="G89" s="112" t="s">
        <v>2667</v>
      </c>
      <c r="H89" s="114" t="s">
        <v>2548</v>
      </c>
      <c r="I89" s="112">
        <f t="shared" si="16"/>
        <v>1</v>
      </c>
      <c r="J89" s="112">
        <f t="shared" si="17"/>
        <v>3</v>
      </c>
      <c r="K89" s="115" t="s">
        <v>1395</v>
      </c>
      <c r="L89" s="115" t="s">
        <v>2744</v>
      </c>
      <c r="M89" s="115" t="s">
        <v>2750</v>
      </c>
      <c r="N89" s="115">
        <v>27967</v>
      </c>
      <c r="O89" s="112">
        <v>1</v>
      </c>
      <c r="P89" s="116" t="s">
        <v>2691</v>
      </c>
      <c r="Q89" s="112" t="str">
        <f t="shared" si="18"/>
        <v/>
      </c>
      <c r="R89" s="112" t="str">
        <f t="shared" si="19"/>
        <v/>
      </c>
      <c r="S89" s="112" t="str">
        <f t="shared" si="22"/>
        <v/>
      </c>
      <c r="T89" s="112" t="str">
        <f t="shared" si="23"/>
        <v/>
      </c>
      <c r="U89" s="112" t="str">
        <f t="shared" si="24"/>
        <v/>
      </c>
      <c r="V89" s="112" t="str">
        <f t="shared" si="25"/>
        <v/>
      </c>
      <c r="W89" s="112" t="str">
        <f t="shared" si="26"/>
        <v/>
      </c>
      <c r="X89" s="112" t="str">
        <f t="shared" si="20"/>
        <v/>
      </c>
      <c r="Y89" s="112" t="str">
        <f t="shared" si="21"/>
        <v/>
      </c>
      <c r="Z89" s="112" t="str">
        <f t="shared" si="27"/>
        <v/>
      </c>
      <c r="AA89" s="112" t="str">
        <f t="shared" si="28"/>
        <v/>
      </c>
      <c r="AB89" s="112" t="str">
        <f t="shared" si="29"/>
        <v/>
      </c>
      <c r="AC89" s="112" t="str">
        <f t="shared" si="30"/>
        <v/>
      </c>
      <c r="AD89" s="112" t="str">
        <f t="shared" si="31"/>
        <v/>
      </c>
    </row>
    <row r="90" spans="1:30" x14ac:dyDescent="0.2">
      <c r="A90" s="112" t="str">
        <f>IF(SUM(Q90:R90)=1,1+MAX($A$1:A89),"")</f>
        <v/>
      </c>
      <c r="B90" s="112" t="str">
        <f>IF(SUM(X90:Y90)=1,1+MAX($B$1:B89),"")</f>
        <v/>
      </c>
      <c r="C90" s="112" t="str">
        <f>IF(SUM(Q90:R90,X90:Y90)=2,1+MAX($C$1:C89),"")</f>
        <v/>
      </c>
      <c r="D90" s="113">
        <v>40352</v>
      </c>
      <c r="E90" s="112">
        <v>2010</v>
      </c>
      <c r="F90" s="112" t="s">
        <v>2672</v>
      </c>
      <c r="G90" s="112" t="s">
        <v>2673</v>
      </c>
      <c r="H90" s="114" t="s">
        <v>1317</v>
      </c>
      <c r="I90" s="112">
        <f t="shared" si="16"/>
        <v>2</v>
      </c>
      <c r="J90" s="112">
        <f t="shared" si="17"/>
        <v>1</v>
      </c>
      <c r="K90" s="115" t="s">
        <v>2137</v>
      </c>
      <c r="L90" s="115" t="s">
        <v>2746</v>
      </c>
      <c r="M90" s="115" t="s">
        <v>2742</v>
      </c>
      <c r="N90" s="115">
        <v>37836</v>
      </c>
      <c r="O90" s="112">
        <v>1</v>
      </c>
      <c r="P90" s="116" t="s">
        <v>2626</v>
      </c>
      <c r="Q90" s="112" t="str">
        <f t="shared" si="18"/>
        <v/>
      </c>
      <c r="R90" s="112" t="str">
        <f t="shared" si="19"/>
        <v/>
      </c>
      <c r="S90" s="112" t="str">
        <f t="shared" si="22"/>
        <v/>
      </c>
      <c r="T90" s="112" t="str">
        <f t="shared" si="23"/>
        <v/>
      </c>
      <c r="U90" s="112" t="str">
        <f t="shared" si="24"/>
        <v/>
      </c>
      <c r="V90" s="112" t="str">
        <f t="shared" si="25"/>
        <v/>
      </c>
      <c r="W90" s="112" t="str">
        <f t="shared" si="26"/>
        <v/>
      </c>
      <c r="X90" s="112" t="str">
        <f t="shared" si="20"/>
        <v/>
      </c>
      <c r="Y90" s="112" t="str">
        <f t="shared" si="21"/>
        <v/>
      </c>
      <c r="Z90" s="112" t="str">
        <f t="shared" si="27"/>
        <v/>
      </c>
      <c r="AA90" s="112" t="str">
        <f t="shared" si="28"/>
        <v/>
      </c>
      <c r="AB90" s="112" t="str">
        <f t="shared" si="29"/>
        <v/>
      </c>
      <c r="AC90" s="112" t="str">
        <f t="shared" si="30"/>
        <v/>
      </c>
      <c r="AD90" s="112" t="str">
        <f t="shared" si="31"/>
        <v/>
      </c>
    </row>
    <row r="91" spans="1:30" x14ac:dyDescent="0.2">
      <c r="A91" s="112" t="str">
        <f>IF(SUM(Q91:R91)=1,1+MAX($A$1:A90),"")</f>
        <v/>
      </c>
      <c r="B91" s="112" t="str">
        <f>IF(SUM(X91:Y91)=1,1+MAX($B$1:B90),"")</f>
        <v/>
      </c>
      <c r="C91" s="112" t="str">
        <f>IF(SUM(Q91:R91,X91:Y91)=2,1+MAX($C$1:C90),"")</f>
        <v/>
      </c>
      <c r="D91" s="113">
        <v>40352</v>
      </c>
      <c r="E91" s="112">
        <v>2010</v>
      </c>
      <c r="F91" s="112" t="s">
        <v>2672</v>
      </c>
      <c r="G91" s="112" t="s">
        <v>2673</v>
      </c>
      <c r="H91" s="114" t="s">
        <v>2547</v>
      </c>
      <c r="I91" s="112">
        <f t="shared" si="16"/>
        <v>1</v>
      </c>
      <c r="J91" s="112">
        <f t="shared" si="17"/>
        <v>0</v>
      </c>
      <c r="K91" s="115" t="s">
        <v>2658</v>
      </c>
      <c r="L91" s="115" t="s">
        <v>2722</v>
      </c>
      <c r="M91" s="115" t="s">
        <v>2751</v>
      </c>
      <c r="N91" s="115">
        <v>83391</v>
      </c>
      <c r="O91" s="112">
        <v>1</v>
      </c>
      <c r="P91" s="116" t="s">
        <v>2622</v>
      </c>
      <c r="Q91" s="112" t="str">
        <f t="shared" si="18"/>
        <v/>
      </c>
      <c r="R91" s="112" t="str">
        <f t="shared" si="19"/>
        <v/>
      </c>
      <c r="S91" s="112" t="str">
        <f t="shared" si="22"/>
        <v/>
      </c>
      <c r="T91" s="112" t="str">
        <f t="shared" si="23"/>
        <v/>
      </c>
      <c r="U91" s="112" t="str">
        <f t="shared" si="24"/>
        <v/>
      </c>
      <c r="V91" s="112" t="str">
        <f t="shared" si="25"/>
        <v/>
      </c>
      <c r="W91" s="112" t="str">
        <f t="shared" si="26"/>
        <v/>
      </c>
      <c r="X91" s="112" t="str">
        <f t="shared" si="20"/>
        <v/>
      </c>
      <c r="Y91" s="112" t="str">
        <f t="shared" si="21"/>
        <v/>
      </c>
      <c r="Z91" s="112" t="str">
        <f t="shared" si="27"/>
        <v/>
      </c>
      <c r="AA91" s="112" t="str">
        <f t="shared" si="28"/>
        <v/>
      </c>
      <c r="AB91" s="112" t="str">
        <f t="shared" si="29"/>
        <v/>
      </c>
      <c r="AC91" s="112" t="str">
        <f t="shared" si="30"/>
        <v/>
      </c>
      <c r="AD91" s="112" t="str">
        <f t="shared" si="31"/>
        <v/>
      </c>
    </row>
    <row r="92" spans="1:30" x14ac:dyDescent="0.2">
      <c r="A92" s="112" t="str">
        <f>IF(SUM(Q92:R92)=1,1+MAX($A$1:A91),"")</f>
        <v/>
      </c>
      <c r="B92" s="112" t="str">
        <f>IF(SUM(X92:Y92)=1,1+MAX($B$1:B91),"")</f>
        <v/>
      </c>
      <c r="C92" s="112" t="str">
        <f>IF(SUM(Q92:R92,X92:Y92)=2,1+MAX($C$1:C91),"")</f>
        <v/>
      </c>
      <c r="D92" s="113">
        <v>40352</v>
      </c>
      <c r="E92" s="112">
        <v>2010</v>
      </c>
      <c r="F92" s="112" t="s">
        <v>2677</v>
      </c>
      <c r="G92" s="112" t="s">
        <v>2678</v>
      </c>
      <c r="H92" s="114" t="s">
        <v>2635</v>
      </c>
      <c r="I92" s="112">
        <f t="shared" si="16"/>
        <v>0</v>
      </c>
      <c r="J92" s="112">
        <f t="shared" si="17"/>
        <v>1</v>
      </c>
      <c r="K92" s="115" t="s">
        <v>2614</v>
      </c>
      <c r="L92" s="115" t="s">
        <v>2736</v>
      </c>
      <c r="M92" s="115" t="s">
        <v>2737</v>
      </c>
      <c r="N92" s="115">
        <v>35827</v>
      </c>
      <c r="O92" s="112">
        <v>2</v>
      </c>
      <c r="P92" s="116" t="s">
        <v>2601</v>
      </c>
      <c r="Q92" s="112" t="str">
        <f t="shared" si="18"/>
        <v/>
      </c>
      <c r="R92" s="112" t="str">
        <f t="shared" si="19"/>
        <v/>
      </c>
      <c r="S92" s="112" t="str">
        <f t="shared" si="22"/>
        <v/>
      </c>
      <c r="T92" s="112" t="str">
        <f t="shared" si="23"/>
        <v/>
      </c>
      <c r="U92" s="112" t="str">
        <f t="shared" si="24"/>
        <v/>
      </c>
      <c r="V92" s="112" t="str">
        <f t="shared" si="25"/>
        <v/>
      </c>
      <c r="W92" s="112" t="str">
        <f t="shared" si="26"/>
        <v/>
      </c>
      <c r="X92" s="112" t="str">
        <f t="shared" si="20"/>
        <v/>
      </c>
      <c r="Y92" s="112" t="str">
        <f t="shared" si="21"/>
        <v/>
      </c>
      <c r="Z92" s="112" t="str">
        <f t="shared" si="27"/>
        <v/>
      </c>
      <c r="AA92" s="112" t="str">
        <f t="shared" si="28"/>
        <v/>
      </c>
      <c r="AB92" s="112" t="str">
        <f t="shared" si="29"/>
        <v/>
      </c>
      <c r="AC92" s="112" t="str">
        <f t="shared" si="30"/>
        <v/>
      </c>
      <c r="AD92" s="112" t="str">
        <f t="shared" si="31"/>
        <v/>
      </c>
    </row>
    <row r="93" spans="1:30" x14ac:dyDescent="0.2">
      <c r="A93" s="112">
        <f>IF(SUM(Q93:R93)=1,1+MAX($A$1:A92),"")</f>
        <v>5</v>
      </c>
      <c r="B93" s="112" t="str">
        <f>IF(SUM(X93:Y93)=1,1+MAX($B$1:B92),"")</f>
        <v/>
      </c>
      <c r="C93" s="112" t="str">
        <f>IF(SUM(Q93:R93,X93:Y93)=2,1+MAX($C$1:C92),"")</f>
        <v/>
      </c>
      <c r="D93" s="113">
        <v>40352</v>
      </c>
      <c r="E93" s="112">
        <v>2010</v>
      </c>
      <c r="F93" s="112" t="s">
        <v>2677</v>
      </c>
      <c r="G93" s="112" t="s">
        <v>2678</v>
      </c>
      <c r="H93" s="114" t="s">
        <v>2545</v>
      </c>
      <c r="I93" s="112">
        <f t="shared" si="16"/>
        <v>1</v>
      </c>
      <c r="J93" s="112">
        <f t="shared" si="17"/>
        <v>0</v>
      </c>
      <c r="K93" s="115" t="s">
        <v>2718</v>
      </c>
      <c r="L93" s="115" t="s">
        <v>2723</v>
      </c>
      <c r="M93" s="115" t="s">
        <v>2745</v>
      </c>
      <c r="N93" s="115">
        <v>36893</v>
      </c>
      <c r="O93" s="112">
        <v>1</v>
      </c>
      <c r="P93" s="116" t="s">
        <v>2622</v>
      </c>
      <c r="Q93" s="112">
        <f t="shared" si="18"/>
        <v>1</v>
      </c>
      <c r="R93" s="112" t="str">
        <f t="shared" si="19"/>
        <v/>
      </c>
      <c r="S93" s="112">
        <f t="shared" si="22"/>
        <v>1</v>
      </c>
      <c r="T93" s="112">
        <f t="shared" si="23"/>
        <v>0</v>
      </c>
      <c r="U93" s="112">
        <f t="shared" si="24"/>
        <v>0</v>
      </c>
      <c r="V93" s="112">
        <f t="shared" si="25"/>
        <v>1</v>
      </c>
      <c r="W93" s="112">
        <f t="shared" si="26"/>
        <v>1</v>
      </c>
      <c r="X93" s="112" t="str">
        <f t="shared" si="20"/>
        <v/>
      </c>
      <c r="Y93" s="112" t="str">
        <f t="shared" si="21"/>
        <v/>
      </c>
      <c r="Z93" s="112" t="str">
        <f t="shared" si="27"/>
        <v/>
      </c>
      <c r="AA93" s="112" t="str">
        <f t="shared" si="28"/>
        <v/>
      </c>
      <c r="AB93" s="112" t="str">
        <f t="shared" si="29"/>
        <v/>
      </c>
      <c r="AC93" s="112" t="str">
        <f t="shared" si="30"/>
        <v/>
      </c>
      <c r="AD93" s="112" t="str">
        <f t="shared" si="31"/>
        <v/>
      </c>
    </row>
    <row r="94" spans="1:30" x14ac:dyDescent="0.2">
      <c r="A94" s="112" t="str">
        <f>IF(SUM(Q94:R94)=1,1+MAX($A$1:A93),"")</f>
        <v/>
      </c>
      <c r="B94" s="112">
        <f>IF(SUM(X94:Y94)=1,1+MAX($B$1:B93),"")</f>
        <v>10</v>
      </c>
      <c r="C94" s="112" t="str">
        <f>IF(SUM(Q94:R94,X94:Y94)=2,1+MAX($C$1:C93),"")</f>
        <v/>
      </c>
      <c r="D94" s="113">
        <v>40351</v>
      </c>
      <c r="E94" s="112">
        <v>2010</v>
      </c>
      <c r="F94" s="112" t="s">
        <v>2684</v>
      </c>
      <c r="G94" s="112" t="s">
        <v>2685</v>
      </c>
      <c r="H94" s="114" t="s">
        <v>1134</v>
      </c>
      <c r="I94" s="112">
        <f t="shared" si="16"/>
        <v>2</v>
      </c>
      <c r="J94" s="112">
        <f t="shared" si="17"/>
        <v>0</v>
      </c>
      <c r="K94" s="115" t="s">
        <v>2642</v>
      </c>
      <c r="L94" s="115" t="s">
        <v>2747</v>
      </c>
      <c r="M94" s="115" t="s">
        <v>2621</v>
      </c>
      <c r="N94" s="115">
        <v>38891</v>
      </c>
      <c r="O94" s="112">
        <v>1</v>
      </c>
      <c r="P94" s="116" t="s">
        <v>2641</v>
      </c>
      <c r="Q94" s="112" t="str">
        <f t="shared" si="18"/>
        <v/>
      </c>
      <c r="R94" s="112" t="str">
        <f t="shared" si="19"/>
        <v/>
      </c>
      <c r="S94" s="112" t="str">
        <f t="shared" si="22"/>
        <v/>
      </c>
      <c r="T94" s="112" t="str">
        <f t="shared" si="23"/>
        <v/>
      </c>
      <c r="U94" s="112" t="str">
        <f t="shared" si="24"/>
        <v/>
      </c>
      <c r="V94" s="112" t="str">
        <f t="shared" si="25"/>
        <v/>
      </c>
      <c r="W94" s="112" t="str">
        <f t="shared" si="26"/>
        <v/>
      </c>
      <c r="X94" s="112">
        <f t="shared" si="20"/>
        <v>1</v>
      </c>
      <c r="Y94" s="112" t="str">
        <f t="shared" si="21"/>
        <v/>
      </c>
      <c r="Z94" s="112">
        <f t="shared" si="27"/>
        <v>1</v>
      </c>
      <c r="AA94" s="112">
        <f t="shared" si="28"/>
        <v>0</v>
      </c>
      <c r="AB94" s="112">
        <f t="shared" si="29"/>
        <v>0</v>
      </c>
      <c r="AC94" s="112">
        <f t="shared" si="30"/>
        <v>2</v>
      </c>
      <c r="AD94" s="112">
        <f t="shared" si="31"/>
        <v>2</v>
      </c>
    </row>
    <row r="95" spans="1:30" x14ac:dyDescent="0.2">
      <c r="A95" s="112" t="str">
        <f>IF(SUM(Q95:R95)=1,1+MAX($A$1:A94),"")</f>
        <v/>
      </c>
      <c r="B95" s="112" t="str">
        <f>IF(SUM(X95:Y95)=1,1+MAX($B$1:B94),"")</f>
        <v/>
      </c>
      <c r="C95" s="112" t="str">
        <f>IF(SUM(Q95:R95,X95:Y95)=2,1+MAX($C$1:C94),"")</f>
        <v/>
      </c>
      <c r="D95" s="113">
        <v>40351</v>
      </c>
      <c r="E95" s="112">
        <v>2010</v>
      </c>
      <c r="F95" s="112" t="s">
        <v>2684</v>
      </c>
      <c r="G95" s="112" t="s">
        <v>2685</v>
      </c>
      <c r="H95" s="114" t="s">
        <v>2542</v>
      </c>
      <c r="I95" s="112">
        <f t="shared" si="16"/>
        <v>2</v>
      </c>
      <c r="J95" s="112">
        <f t="shared" si="17"/>
        <v>2</v>
      </c>
      <c r="K95" s="115" t="s">
        <v>2543</v>
      </c>
      <c r="L95" s="115" t="s">
        <v>2726</v>
      </c>
      <c r="M95" s="115" t="s">
        <v>2734</v>
      </c>
      <c r="N95" s="115">
        <v>61874</v>
      </c>
      <c r="O95" s="112">
        <v>1</v>
      </c>
      <c r="P95" s="116" t="s">
        <v>2697</v>
      </c>
      <c r="Q95" s="112" t="str">
        <f t="shared" si="18"/>
        <v/>
      </c>
      <c r="R95" s="112" t="str">
        <f t="shared" si="19"/>
        <v/>
      </c>
      <c r="S95" s="112" t="str">
        <f t="shared" si="22"/>
        <v/>
      </c>
      <c r="T95" s="112" t="str">
        <f t="shared" si="23"/>
        <v/>
      </c>
      <c r="U95" s="112" t="str">
        <f t="shared" si="24"/>
        <v/>
      </c>
      <c r="V95" s="112" t="str">
        <f t="shared" si="25"/>
        <v/>
      </c>
      <c r="W95" s="112" t="str">
        <f t="shared" si="26"/>
        <v/>
      </c>
      <c r="X95" s="112" t="str">
        <f t="shared" si="20"/>
        <v/>
      </c>
      <c r="Y95" s="112" t="str">
        <f t="shared" si="21"/>
        <v/>
      </c>
      <c r="Z95" s="112" t="str">
        <f t="shared" si="27"/>
        <v/>
      </c>
      <c r="AA95" s="112" t="str">
        <f t="shared" si="28"/>
        <v/>
      </c>
      <c r="AB95" s="112" t="str">
        <f t="shared" si="29"/>
        <v/>
      </c>
      <c r="AC95" s="112" t="str">
        <f t="shared" si="30"/>
        <v/>
      </c>
      <c r="AD95" s="112" t="str">
        <f t="shared" si="31"/>
        <v/>
      </c>
    </row>
    <row r="96" spans="1:30" x14ac:dyDescent="0.2">
      <c r="A96" s="112" t="str">
        <f>IF(SUM(Q96:R96)=1,1+MAX($A$1:A95),"")</f>
        <v/>
      </c>
      <c r="B96" s="112" t="str">
        <f>IF(SUM(X96:Y96)=1,1+MAX($B$1:B95),"")</f>
        <v/>
      </c>
      <c r="C96" s="112" t="str">
        <f>IF(SUM(Q96:R96,X96:Y96)=2,1+MAX($C$1:C95),"")</f>
        <v/>
      </c>
      <c r="D96" s="113">
        <v>40351</v>
      </c>
      <c r="E96" s="112">
        <v>2010</v>
      </c>
      <c r="F96" s="112" t="s">
        <v>2689</v>
      </c>
      <c r="G96" s="112" t="s">
        <v>2690</v>
      </c>
      <c r="H96" s="114" t="s">
        <v>2541</v>
      </c>
      <c r="I96" s="112">
        <f t="shared" si="16"/>
        <v>1</v>
      </c>
      <c r="J96" s="112">
        <f t="shared" si="17"/>
        <v>2</v>
      </c>
      <c r="K96" s="115" t="s">
        <v>2692</v>
      </c>
      <c r="L96" s="115" t="s">
        <v>2741</v>
      </c>
      <c r="M96" s="115" t="s">
        <v>2752</v>
      </c>
      <c r="N96" s="115">
        <v>39415</v>
      </c>
      <c r="O96" s="112">
        <v>1</v>
      </c>
      <c r="P96" s="116" t="s">
        <v>2638</v>
      </c>
      <c r="Q96" s="112" t="str">
        <f t="shared" si="18"/>
        <v/>
      </c>
      <c r="R96" s="112" t="str">
        <f t="shared" si="19"/>
        <v/>
      </c>
      <c r="S96" s="112" t="str">
        <f t="shared" si="22"/>
        <v/>
      </c>
      <c r="T96" s="112" t="str">
        <f t="shared" si="23"/>
        <v/>
      </c>
      <c r="U96" s="112" t="str">
        <f t="shared" si="24"/>
        <v/>
      </c>
      <c r="V96" s="112" t="str">
        <f t="shared" si="25"/>
        <v/>
      </c>
      <c r="W96" s="112" t="str">
        <f t="shared" si="26"/>
        <v/>
      </c>
      <c r="X96" s="112" t="str">
        <f t="shared" si="20"/>
        <v/>
      </c>
      <c r="Y96" s="112" t="str">
        <f t="shared" si="21"/>
        <v/>
      </c>
      <c r="Z96" s="112" t="str">
        <f t="shared" si="27"/>
        <v/>
      </c>
      <c r="AA96" s="112" t="str">
        <f t="shared" si="28"/>
        <v/>
      </c>
      <c r="AB96" s="112" t="str">
        <f t="shared" si="29"/>
        <v/>
      </c>
      <c r="AC96" s="112" t="str">
        <f t="shared" si="30"/>
        <v/>
      </c>
      <c r="AD96" s="112" t="str">
        <f t="shared" si="31"/>
        <v/>
      </c>
    </row>
    <row r="97" spans="1:30" x14ac:dyDescent="0.2">
      <c r="A97" s="112" t="str">
        <f>IF(SUM(Q97:R97)=1,1+MAX($A$1:A96),"")</f>
        <v/>
      </c>
      <c r="B97" s="112" t="str">
        <f>IF(SUM(X97:Y97)=1,1+MAX($B$1:B96),"")</f>
        <v/>
      </c>
      <c r="C97" s="112" t="str">
        <f>IF(SUM(Q97:R97,X97:Y97)=2,1+MAX($C$1:C96),"")</f>
        <v/>
      </c>
      <c r="D97" s="113">
        <v>40351</v>
      </c>
      <c r="E97" s="112">
        <v>2010</v>
      </c>
      <c r="F97" s="112" t="s">
        <v>2689</v>
      </c>
      <c r="G97" s="112" t="s">
        <v>2690</v>
      </c>
      <c r="H97" s="114" t="s">
        <v>1061</v>
      </c>
      <c r="I97" s="112">
        <f t="shared" si="16"/>
        <v>0</v>
      </c>
      <c r="J97" s="112">
        <f t="shared" si="17"/>
        <v>1</v>
      </c>
      <c r="K97" s="115" t="s">
        <v>2540</v>
      </c>
      <c r="L97" s="115" t="s">
        <v>2744</v>
      </c>
      <c r="M97" s="115" t="s">
        <v>2727</v>
      </c>
      <c r="N97" s="115">
        <v>33425</v>
      </c>
      <c r="O97" s="112">
        <v>2</v>
      </c>
      <c r="P97" s="116" t="s">
        <v>2601</v>
      </c>
      <c r="Q97" s="112" t="str">
        <f t="shared" si="18"/>
        <v/>
      </c>
      <c r="R97" s="112" t="str">
        <f t="shared" si="19"/>
        <v/>
      </c>
      <c r="S97" s="112" t="str">
        <f t="shared" si="22"/>
        <v/>
      </c>
      <c r="T97" s="112" t="str">
        <f t="shared" si="23"/>
        <v/>
      </c>
      <c r="U97" s="112" t="str">
        <f t="shared" si="24"/>
        <v/>
      </c>
      <c r="V97" s="112" t="str">
        <f t="shared" si="25"/>
        <v/>
      </c>
      <c r="W97" s="112" t="str">
        <f t="shared" si="26"/>
        <v/>
      </c>
      <c r="X97" s="112" t="str">
        <f t="shared" si="20"/>
        <v/>
      </c>
      <c r="Y97" s="112" t="str">
        <f t="shared" si="21"/>
        <v/>
      </c>
      <c r="Z97" s="112" t="str">
        <f t="shared" si="27"/>
        <v/>
      </c>
      <c r="AA97" s="112" t="str">
        <f t="shared" si="28"/>
        <v/>
      </c>
      <c r="AB97" s="112" t="str">
        <f t="shared" si="29"/>
        <v/>
      </c>
      <c r="AC97" s="112" t="str">
        <f t="shared" si="30"/>
        <v/>
      </c>
      <c r="AD97" s="112" t="str">
        <f t="shared" si="31"/>
        <v/>
      </c>
    </row>
    <row r="98" spans="1:30" x14ac:dyDescent="0.2">
      <c r="A98" s="112" t="str">
        <f>IF(SUM(Q98:R98)=1,1+MAX($A$1:A97),"")</f>
        <v/>
      </c>
      <c r="B98" s="112" t="str">
        <f>IF(SUM(X98:Y98)=1,1+MAX($B$1:B97),"")</f>
        <v/>
      </c>
      <c r="C98" s="112" t="str">
        <f>IF(SUM(Q98:R98,X98:Y98)=2,1+MAX($C$1:C97),"")</f>
        <v/>
      </c>
      <c r="D98" s="113">
        <v>40350</v>
      </c>
      <c r="E98" s="112">
        <v>2010</v>
      </c>
      <c r="F98" s="112" t="s">
        <v>2652</v>
      </c>
      <c r="G98" s="112" t="s">
        <v>2653</v>
      </c>
      <c r="H98" s="114" t="s">
        <v>2669</v>
      </c>
      <c r="I98" s="112">
        <f t="shared" si="16"/>
        <v>0</v>
      </c>
      <c r="J98" s="112">
        <f t="shared" si="17"/>
        <v>2</v>
      </c>
      <c r="K98" s="115" t="s">
        <v>2557</v>
      </c>
      <c r="L98" s="115" t="s">
        <v>2730</v>
      </c>
      <c r="M98" s="115" t="s">
        <v>2721</v>
      </c>
      <c r="N98" s="115">
        <v>54386</v>
      </c>
      <c r="O98" s="112">
        <v>1</v>
      </c>
      <c r="P98" s="116" t="s">
        <v>2687</v>
      </c>
      <c r="Q98" s="112" t="str">
        <f t="shared" si="18"/>
        <v/>
      </c>
      <c r="R98" s="112" t="str">
        <f t="shared" si="19"/>
        <v/>
      </c>
      <c r="S98" s="112" t="str">
        <f t="shared" si="22"/>
        <v/>
      </c>
      <c r="T98" s="112" t="str">
        <f t="shared" si="23"/>
        <v/>
      </c>
      <c r="U98" s="112" t="str">
        <f t="shared" si="24"/>
        <v/>
      </c>
      <c r="V98" s="112" t="str">
        <f t="shared" si="25"/>
        <v/>
      </c>
      <c r="W98" s="112" t="str">
        <f t="shared" si="26"/>
        <v/>
      </c>
      <c r="X98" s="112" t="str">
        <f t="shared" si="20"/>
        <v/>
      </c>
      <c r="Y98" s="112" t="str">
        <f t="shared" si="21"/>
        <v/>
      </c>
      <c r="Z98" s="112" t="str">
        <f t="shared" si="27"/>
        <v/>
      </c>
      <c r="AA98" s="112" t="str">
        <f t="shared" si="28"/>
        <v/>
      </c>
      <c r="AB98" s="112" t="str">
        <f t="shared" si="29"/>
        <v/>
      </c>
      <c r="AC98" s="112" t="str">
        <f t="shared" si="30"/>
        <v/>
      </c>
      <c r="AD98" s="112" t="str">
        <f t="shared" si="31"/>
        <v/>
      </c>
    </row>
    <row r="99" spans="1:30" x14ac:dyDescent="0.2">
      <c r="A99" s="112" t="str">
        <f>IF(SUM(Q99:R99)=1,1+MAX($A$1:A98),"")</f>
        <v/>
      </c>
      <c r="B99" s="112" t="str">
        <f>IF(SUM(X99:Y99)=1,1+MAX($B$1:B98),"")</f>
        <v/>
      </c>
      <c r="C99" s="112" t="str">
        <f>IF(SUM(Q99:R99,X99:Y99)=2,1+MAX($C$1:C98),"")</f>
        <v/>
      </c>
      <c r="D99" s="113">
        <v>40350</v>
      </c>
      <c r="E99" s="112">
        <v>2010</v>
      </c>
      <c r="F99" s="112" t="s">
        <v>2652</v>
      </c>
      <c r="G99" s="112" t="s">
        <v>2653</v>
      </c>
      <c r="H99" s="114" t="s">
        <v>2650</v>
      </c>
      <c r="I99" s="112">
        <f t="shared" si="16"/>
        <v>1</v>
      </c>
      <c r="J99" s="112">
        <f t="shared" si="17"/>
        <v>0</v>
      </c>
      <c r="K99" s="115" t="s">
        <v>2558</v>
      </c>
      <c r="L99" s="115" t="s">
        <v>2723</v>
      </c>
      <c r="M99" s="115" t="s">
        <v>2753</v>
      </c>
      <c r="N99" s="115">
        <v>34872</v>
      </c>
      <c r="O99" s="112">
        <v>1</v>
      </c>
      <c r="P99" s="116" t="s">
        <v>2622</v>
      </c>
      <c r="Q99" s="112" t="str">
        <f t="shared" si="18"/>
        <v/>
      </c>
      <c r="R99" s="112" t="str">
        <f t="shared" si="19"/>
        <v/>
      </c>
      <c r="S99" s="112" t="str">
        <f t="shared" si="22"/>
        <v/>
      </c>
      <c r="T99" s="112" t="str">
        <f t="shared" si="23"/>
        <v/>
      </c>
      <c r="U99" s="112" t="str">
        <f t="shared" si="24"/>
        <v/>
      </c>
      <c r="V99" s="112" t="str">
        <f t="shared" si="25"/>
        <v/>
      </c>
      <c r="W99" s="112" t="str">
        <f t="shared" si="26"/>
        <v/>
      </c>
      <c r="X99" s="112" t="str">
        <f t="shared" si="20"/>
        <v/>
      </c>
      <c r="Y99" s="112" t="str">
        <f t="shared" si="21"/>
        <v/>
      </c>
      <c r="Z99" s="112" t="str">
        <f t="shared" si="27"/>
        <v/>
      </c>
      <c r="AA99" s="112" t="str">
        <f t="shared" si="28"/>
        <v/>
      </c>
      <c r="AB99" s="112" t="str">
        <f t="shared" si="29"/>
        <v/>
      </c>
      <c r="AC99" s="112" t="str">
        <f t="shared" si="30"/>
        <v/>
      </c>
      <c r="AD99" s="112" t="str">
        <f t="shared" si="31"/>
        <v/>
      </c>
    </row>
    <row r="100" spans="1:30" x14ac:dyDescent="0.2">
      <c r="A100" s="112" t="str">
        <f>IF(SUM(Q100:R100)=1,1+MAX($A$1:A99),"")</f>
        <v/>
      </c>
      <c r="B100" s="112" t="str">
        <f>IF(SUM(X100:Y100)=1,1+MAX($B$1:B99),"")</f>
        <v/>
      </c>
      <c r="C100" s="112" t="str">
        <f>IF(SUM(Q100:R100,X100:Y100)=2,1+MAX($C$1:C99),"")</f>
        <v/>
      </c>
      <c r="D100" s="113">
        <v>40350</v>
      </c>
      <c r="E100" s="112">
        <v>2010</v>
      </c>
      <c r="F100" s="112" t="s">
        <v>2656</v>
      </c>
      <c r="G100" s="112" t="s">
        <v>2657</v>
      </c>
      <c r="H100" s="114" t="s">
        <v>2716</v>
      </c>
      <c r="I100" s="112">
        <f t="shared" si="16"/>
        <v>0</v>
      </c>
      <c r="J100" s="112">
        <f t="shared" si="17"/>
        <v>7</v>
      </c>
      <c r="K100" s="115" t="s">
        <v>2556</v>
      </c>
      <c r="L100" s="115" t="s">
        <v>2729</v>
      </c>
      <c r="M100" s="115" t="s">
        <v>2749</v>
      </c>
      <c r="N100" s="115">
        <v>63644</v>
      </c>
      <c r="O100" s="112">
        <v>1</v>
      </c>
      <c r="P100" s="116" t="s">
        <v>2754</v>
      </c>
      <c r="Q100" s="112" t="str">
        <f t="shared" si="18"/>
        <v/>
      </c>
      <c r="R100" s="112" t="str">
        <f t="shared" si="19"/>
        <v/>
      </c>
      <c r="S100" s="112" t="str">
        <f t="shared" si="22"/>
        <v/>
      </c>
      <c r="T100" s="112" t="str">
        <f t="shared" si="23"/>
        <v/>
      </c>
      <c r="U100" s="112" t="str">
        <f t="shared" si="24"/>
        <v/>
      </c>
      <c r="V100" s="112" t="str">
        <f t="shared" si="25"/>
        <v/>
      </c>
      <c r="W100" s="112" t="str">
        <f t="shared" si="26"/>
        <v/>
      </c>
      <c r="X100" s="112" t="str">
        <f t="shared" si="20"/>
        <v/>
      </c>
      <c r="Y100" s="112" t="str">
        <f t="shared" si="21"/>
        <v/>
      </c>
      <c r="Z100" s="112" t="str">
        <f t="shared" si="27"/>
        <v/>
      </c>
      <c r="AA100" s="112" t="str">
        <f t="shared" si="28"/>
        <v/>
      </c>
      <c r="AB100" s="112" t="str">
        <f t="shared" si="29"/>
        <v/>
      </c>
      <c r="AC100" s="112" t="str">
        <f t="shared" si="30"/>
        <v/>
      </c>
      <c r="AD100" s="112" t="str">
        <f t="shared" si="31"/>
        <v/>
      </c>
    </row>
    <row r="101" spans="1:30" x14ac:dyDescent="0.2">
      <c r="A101" s="112" t="str">
        <f>IF(SUM(Q101:R101)=1,1+MAX($A$1:A100),"")</f>
        <v/>
      </c>
      <c r="B101" s="112" t="str">
        <f>IF(SUM(X101:Y101)=1,1+MAX($B$1:B100),"")</f>
        <v/>
      </c>
      <c r="C101" s="112" t="str">
        <f>IF(SUM(Q101:R101,X101:Y101)=2,1+MAX($C$1:C100),"")</f>
        <v/>
      </c>
      <c r="D101" s="113">
        <v>40349</v>
      </c>
      <c r="E101" s="112">
        <v>2010</v>
      </c>
      <c r="F101" s="112" t="s">
        <v>2656</v>
      </c>
      <c r="G101" s="112" t="s">
        <v>2657</v>
      </c>
      <c r="H101" s="114" t="s">
        <v>1442</v>
      </c>
      <c r="I101" s="112">
        <f t="shared" si="16"/>
        <v>3</v>
      </c>
      <c r="J101" s="112">
        <f t="shared" si="17"/>
        <v>1</v>
      </c>
      <c r="K101" s="115" t="s">
        <v>2679</v>
      </c>
      <c r="L101" s="115" t="s">
        <v>2722</v>
      </c>
      <c r="M101" s="115" t="s">
        <v>2755</v>
      </c>
      <c r="N101" s="115">
        <v>84455</v>
      </c>
      <c r="O101" s="112">
        <v>1</v>
      </c>
      <c r="P101" s="116" t="s">
        <v>2663</v>
      </c>
      <c r="Q101" s="112" t="str">
        <f t="shared" si="18"/>
        <v/>
      </c>
      <c r="R101" s="112" t="str">
        <f t="shared" si="19"/>
        <v/>
      </c>
      <c r="S101" s="112" t="str">
        <f t="shared" si="22"/>
        <v/>
      </c>
      <c r="T101" s="112" t="str">
        <f t="shared" si="23"/>
        <v/>
      </c>
      <c r="U101" s="112" t="str">
        <f t="shared" si="24"/>
        <v/>
      </c>
      <c r="V101" s="112" t="str">
        <f t="shared" si="25"/>
        <v/>
      </c>
      <c r="W101" s="112" t="str">
        <f t="shared" si="26"/>
        <v/>
      </c>
      <c r="X101" s="112" t="str">
        <f t="shared" si="20"/>
        <v/>
      </c>
      <c r="Y101" s="112" t="str">
        <f t="shared" si="21"/>
        <v/>
      </c>
      <c r="Z101" s="112" t="str">
        <f t="shared" si="27"/>
        <v/>
      </c>
      <c r="AA101" s="112" t="str">
        <f t="shared" si="28"/>
        <v/>
      </c>
      <c r="AB101" s="112" t="str">
        <f t="shared" si="29"/>
        <v/>
      </c>
      <c r="AC101" s="112" t="str">
        <f t="shared" si="30"/>
        <v/>
      </c>
      <c r="AD101" s="112" t="str">
        <f t="shared" si="31"/>
        <v/>
      </c>
    </row>
    <row r="102" spans="1:30" x14ac:dyDescent="0.2">
      <c r="A102" s="112" t="str">
        <f>IF(SUM(Q102:R102)=1,1+MAX($A$1:A101),"")</f>
        <v/>
      </c>
      <c r="B102" s="112" t="str">
        <f>IF(SUM(X102:Y102)=1,1+MAX($B$1:B101),"")</f>
        <v/>
      </c>
      <c r="C102" s="112" t="str">
        <f>IF(SUM(Q102:R102,X102:Y102)=2,1+MAX($C$1:C101),"")</f>
        <v/>
      </c>
      <c r="D102" s="113">
        <v>40349</v>
      </c>
      <c r="E102" s="112">
        <v>2010</v>
      </c>
      <c r="F102" s="112" t="s">
        <v>2661</v>
      </c>
      <c r="G102" s="112" t="s">
        <v>2662</v>
      </c>
      <c r="H102" s="114" t="s">
        <v>2674</v>
      </c>
      <c r="I102" s="112">
        <f t="shared" si="16"/>
        <v>1</v>
      </c>
      <c r="J102" s="112">
        <f t="shared" si="17"/>
        <v>1</v>
      </c>
      <c r="K102" s="115" t="s">
        <v>2733</v>
      </c>
      <c r="L102" s="115" t="s">
        <v>2746</v>
      </c>
      <c r="M102" s="115" t="s">
        <v>2731</v>
      </c>
      <c r="N102" s="115">
        <v>38229</v>
      </c>
      <c r="O102" s="112">
        <v>1</v>
      </c>
      <c r="P102" s="116" t="s">
        <v>2645</v>
      </c>
      <c r="Q102" s="112" t="str">
        <f t="shared" si="18"/>
        <v/>
      </c>
      <c r="R102" s="112" t="str">
        <f t="shared" si="19"/>
        <v/>
      </c>
      <c r="S102" s="112" t="str">
        <f t="shared" si="22"/>
        <v/>
      </c>
      <c r="T102" s="112" t="str">
        <f t="shared" si="23"/>
        <v/>
      </c>
      <c r="U102" s="112" t="str">
        <f t="shared" si="24"/>
        <v/>
      </c>
      <c r="V102" s="112" t="str">
        <f t="shared" si="25"/>
        <v/>
      </c>
      <c r="W102" s="112" t="str">
        <f t="shared" si="26"/>
        <v/>
      </c>
      <c r="X102" s="112" t="str">
        <f t="shared" si="20"/>
        <v/>
      </c>
      <c r="Y102" s="112" t="str">
        <f t="shared" si="21"/>
        <v/>
      </c>
      <c r="Z102" s="112" t="str">
        <f t="shared" si="27"/>
        <v/>
      </c>
      <c r="AA102" s="112" t="str">
        <f t="shared" si="28"/>
        <v/>
      </c>
      <c r="AB102" s="112" t="str">
        <f t="shared" si="29"/>
        <v/>
      </c>
      <c r="AC102" s="112" t="str">
        <f t="shared" si="30"/>
        <v/>
      </c>
      <c r="AD102" s="112" t="str">
        <f t="shared" si="31"/>
        <v/>
      </c>
    </row>
    <row r="103" spans="1:30" x14ac:dyDescent="0.2">
      <c r="A103" s="112" t="str">
        <f>IF(SUM(Q103:R103)=1,1+MAX($A$1:A102),"")</f>
        <v/>
      </c>
      <c r="B103" s="112" t="str">
        <f>IF(SUM(X103:Y103)=1,1+MAX($B$1:B102),"")</f>
        <v/>
      </c>
      <c r="C103" s="112" t="str">
        <f>IF(SUM(Q103:R103,X103:Y103)=2,1+MAX($C$1:C102),"")</f>
        <v/>
      </c>
      <c r="D103" s="113">
        <v>40349</v>
      </c>
      <c r="E103" s="112">
        <v>2010</v>
      </c>
      <c r="F103" s="112" t="s">
        <v>2661</v>
      </c>
      <c r="G103" s="112" t="s">
        <v>2662</v>
      </c>
      <c r="H103" s="114" t="s">
        <v>2709</v>
      </c>
      <c r="I103" s="112">
        <f t="shared" si="16"/>
        <v>2</v>
      </c>
      <c r="J103" s="112">
        <f t="shared" si="17"/>
        <v>0</v>
      </c>
      <c r="K103" s="115" t="s">
        <v>2738</v>
      </c>
      <c r="L103" s="115" t="s">
        <v>2741</v>
      </c>
      <c r="M103" s="115" t="s">
        <v>2756</v>
      </c>
      <c r="N103" s="115">
        <v>26643</v>
      </c>
      <c r="O103" s="112">
        <v>1</v>
      </c>
      <c r="P103" s="116" t="s">
        <v>2641</v>
      </c>
      <c r="Q103" s="112" t="str">
        <f t="shared" si="18"/>
        <v/>
      </c>
      <c r="R103" s="112" t="str">
        <f t="shared" si="19"/>
        <v/>
      </c>
      <c r="S103" s="112" t="str">
        <f t="shared" si="22"/>
        <v/>
      </c>
      <c r="T103" s="112" t="str">
        <f t="shared" si="23"/>
        <v/>
      </c>
      <c r="U103" s="112" t="str">
        <f t="shared" si="24"/>
        <v/>
      </c>
      <c r="V103" s="112" t="str">
        <f t="shared" si="25"/>
        <v/>
      </c>
      <c r="W103" s="112" t="str">
        <f t="shared" si="26"/>
        <v/>
      </c>
      <c r="X103" s="112" t="str">
        <f t="shared" si="20"/>
        <v/>
      </c>
      <c r="Y103" s="112" t="str">
        <f t="shared" si="21"/>
        <v/>
      </c>
      <c r="Z103" s="112" t="str">
        <f t="shared" si="27"/>
        <v/>
      </c>
      <c r="AA103" s="112" t="str">
        <f t="shared" si="28"/>
        <v/>
      </c>
      <c r="AB103" s="112" t="str">
        <f t="shared" si="29"/>
        <v/>
      </c>
      <c r="AC103" s="112" t="str">
        <f t="shared" si="30"/>
        <v/>
      </c>
      <c r="AD103" s="112" t="str">
        <f t="shared" si="31"/>
        <v/>
      </c>
    </row>
    <row r="104" spans="1:30" x14ac:dyDescent="0.2">
      <c r="A104" s="112" t="str">
        <f>IF(SUM(Q104:R104)=1,1+MAX($A$1:A103),"")</f>
        <v/>
      </c>
      <c r="B104" s="112" t="str">
        <f>IF(SUM(X104:Y104)=1,1+MAX($B$1:B103),"")</f>
        <v/>
      </c>
      <c r="C104" s="112" t="str">
        <f>IF(SUM(Q104:R104,X104:Y104)=2,1+MAX($C$1:C103),"")</f>
        <v/>
      </c>
      <c r="D104" s="113">
        <v>40348</v>
      </c>
      <c r="E104" s="112">
        <v>2010</v>
      </c>
      <c r="F104" s="112" t="s">
        <v>2666</v>
      </c>
      <c r="G104" s="112" t="s">
        <v>2667</v>
      </c>
      <c r="H104" s="114" t="s">
        <v>2693</v>
      </c>
      <c r="I104" s="112">
        <f t="shared" si="16"/>
        <v>1</v>
      </c>
      <c r="J104" s="112">
        <f t="shared" si="17"/>
        <v>2</v>
      </c>
      <c r="K104" s="115" t="s">
        <v>2548</v>
      </c>
      <c r="L104" s="115" t="s">
        <v>2736</v>
      </c>
      <c r="M104" s="115" t="s">
        <v>2742</v>
      </c>
      <c r="N104" s="115">
        <v>38074</v>
      </c>
      <c r="O104" s="112">
        <v>1</v>
      </c>
      <c r="P104" s="116" t="s">
        <v>2638</v>
      </c>
      <c r="Q104" s="112" t="str">
        <f t="shared" si="18"/>
        <v/>
      </c>
      <c r="R104" s="112" t="str">
        <f t="shared" si="19"/>
        <v/>
      </c>
      <c r="S104" s="112" t="str">
        <f t="shared" si="22"/>
        <v/>
      </c>
      <c r="T104" s="112" t="str">
        <f t="shared" si="23"/>
        <v/>
      </c>
      <c r="U104" s="112" t="str">
        <f t="shared" si="24"/>
        <v/>
      </c>
      <c r="V104" s="112" t="str">
        <f t="shared" si="25"/>
        <v/>
      </c>
      <c r="W104" s="112" t="str">
        <f t="shared" si="26"/>
        <v/>
      </c>
      <c r="X104" s="112" t="str">
        <f t="shared" si="20"/>
        <v/>
      </c>
      <c r="Y104" s="112" t="str">
        <f t="shared" si="21"/>
        <v/>
      </c>
      <c r="Z104" s="112" t="str">
        <f t="shared" si="27"/>
        <v/>
      </c>
      <c r="AA104" s="112" t="str">
        <f t="shared" si="28"/>
        <v/>
      </c>
      <c r="AB104" s="112" t="str">
        <f t="shared" si="29"/>
        <v/>
      </c>
      <c r="AC104" s="112" t="str">
        <f t="shared" si="30"/>
        <v/>
      </c>
      <c r="AD104" s="112" t="str">
        <f t="shared" si="31"/>
        <v/>
      </c>
    </row>
    <row r="105" spans="1:30" x14ac:dyDescent="0.2">
      <c r="A105" s="112" t="str">
        <f>IF(SUM(Q105:R105)=1,1+MAX($A$1:A104),"")</f>
        <v/>
      </c>
      <c r="B105" s="112" t="str">
        <f>IF(SUM(X105:Y105)=1,1+MAX($B$1:B104),"")</f>
        <v/>
      </c>
      <c r="C105" s="112" t="str">
        <f>IF(SUM(Q105:R105,X105:Y105)=2,1+MAX($C$1:C104),"")</f>
        <v/>
      </c>
      <c r="D105" s="113">
        <v>40348</v>
      </c>
      <c r="E105" s="112">
        <v>2010</v>
      </c>
      <c r="F105" s="112" t="s">
        <v>2666</v>
      </c>
      <c r="G105" s="112" t="s">
        <v>2667</v>
      </c>
      <c r="H105" s="114" t="s">
        <v>1395</v>
      </c>
      <c r="I105" s="112">
        <f t="shared" si="16"/>
        <v>0</v>
      </c>
      <c r="J105" s="112">
        <f t="shared" si="17"/>
        <v>1</v>
      </c>
      <c r="K105" s="115" t="s">
        <v>2604</v>
      </c>
      <c r="L105" s="115" t="s">
        <v>2726</v>
      </c>
      <c r="M105" s="115" t="s">
        <v>2735</v>
      </c>
      <c r="N105" s="115">
        <v>62010</v>
      </c>
      <c r="O105" s="112">
        <v>1</v>
      </c>
      <c r="P105" s="116" t="s">
        <v>2601</v>
      </c>
      <c r="Q105" s="112" t="str">
        <f t="shared" si="18"/>
        <v/>
      </c>
      <c r="R105" s="112" t="str">
        <f t="shared" si="19"/>
        <v/>
      </c>
      <c r="S105" s="112" t="str">
        <f t="shared" si="22"/>
        <v/>
      </c>
      <c r="T105" s="112" t="str">
        <f t="shared" si="23"/>
        <v/>
      </c>
      <c r="U105" s="112" t="str">
        <f t="shared" si="24"/>
        <v/>
      </c>
      <c r="V105" s="112" t="str">
        <f t="shared" si="25"/>
        <v/>
      </c>
      <c r="W105" s="112" t="str">
        <f t="shared" si="26"/>
        <v/>
      </c>
      <c r="X105" s="112" t="str">
        <f t="shared" si="20"/>
        <v/>
      </c>
      <c r="Y105" s="112" t="str">
        <f t="shared" si="21"/>
        <v/>
      </c>
      <c r="Z105" s="112" t="str">
        <f t="shared" si="27"/>
        <v/>
      </c>
      <c r="AA105" s="112" t="str">
        <f t="shared" si="28"/>
        <v/>
      </c>
      <c r="AB105" s="112" t="str">
        <f t="shared" si="29"/>
        <v/>
      </c>
      <c r="AC105" s="112" t="str">
        <f t="shared" si="30"/>
        <v/>
      </c>
      <c r="AD105" s="112" t="str">
        <f t="shared" si="31"/>
        <v/>
      </c>
    </row>
    <row r="106" spans="1:30" x14ac:dyDescent="0.2">
      <c r="A106" s="112" t="str">
        <f>IF(SUM(Q106:R106)=1,1+MAX($A$1:A105),"")</f>
        <v/>
      </c>
      <c r="B106" s="112" t="str">
        <f>IF(SUM(X106:Y106)=1,1+MAX($B$1:B105),"")</f>
        <v/>
      </c>
      <c r="C106" s="112" t="str">
        <f>IF(SUM(Q106:R106,X106:Y106)=2,1+MAX($C$1:C105),"")</f>
        <v/>
      </c>
      <c r="D106" s="113">
        <v>40348</v>
      </c>
      <c r="E106" s="112">
        <v>2010</v>
      </c>
      <c r="F106" s="112" t="s">
        <v>2672</v>
      </c>
      <c r="G106" s="112" t="s">
        <v>2673</v>
      </c>
      <c r="H106" s="114" t="s">
        <v>1317</v>
      </c>
      <c r="I106" s="112">
        <f t="shared" si="16"/>
        <v>1</v>
      </c>
      <c r="J106" s="112">
        <f t="shared" si="17"/>
        <v>1</v>
      </c>
      <c r="K106" s="115" t="s">
        <v>2658</v>
      </c>
      <c r="L106" s="115" t="s">
        <v>2744</v>
      </c>
      <c r="M106" s="115" t="s">
        <v>2757</v>
      </c>
      <c r="N106" s="115">
        <v>34812</v>
      </c>
      <c r="O106" s="112">
        <v>1</v>
      </c>
      <c r="P106" s="116" t="s">
        <v>2645</v>
      </c>
      <c r="Q106" s="112" t="str">
        <f t="shared" si="18"/>
        <v/>
      </c>
      <c r="R106" s="112" t="str">
        <f t="shared" si="19"/>
        <v/>
      </c>
      <c r="S106" s="112" t="str">
        <f t="shared" si="22"/>
        <v/>
      </c>
      <c r="T106" s="112" t="str">
        <f t="shared" si="23"/>
        <v/>
      </c>
      <c r="U106" s="112" t="str">
        <f t="shared" si="24"/>
        <v/>
      </c>
      <c r="V106" s="112" t="str">
        <f t="shared" si="25"/>
        <v/>
      </c>
      <c r="W106" s="112" t="str">
        <f t="shared" si="26"/>
        <v/>
      </c>
      <c r="X106" s="112" t="str">
        <f t="shared" si="20"/>
        <v/>
      </c>
      <c r="Y106" s="112" t="str">
        <f t="shared" si="21"/>
        <v/>
      </c>
      <c r="Z106" s="112" t="str">
        <f t="shared" si="27"/>
        <v/>
      </c>
      <c r="AA106" s="112" t="str">
        <f t="shared" si="28"/>
        <v/>
      </c>
      <c r="AB106" s="112" t="str">
        <f t="shared" si="29"/>
        <v/>
      </c>
      <c r="AC106" s="112" t="str">
        <f t="shared" si="30"/>
        <v/>
      </c>
      <c r="AD106" s="112" t="str">
        <f t="shared" si="31"/>
        <v/>
      </c>
    </row>
    <row r="107" spans="1:30" x14ac:dyDescent="0.2">
      <c r="A107" s="112" t="str">
        <f>IF(SUM(Q107:R107)=1,1+MAX($A$1:A106),"")</f>
        <v/>
      </c>
      <c r="B107" s="112" t="str">
        <f>IF(SUM(X107:Y107)=1,1+MAX($B$1:B106),"")</f>
        <v/>
      </c>
      <c r="C107" s="112" t="str">
        <f>IF(SUM(Q107:R107,X107:Y107)=2,1+MAX($C$1:C106),"")</f>
        <v/>
      </c>
      <c r="D107" s="113">
        <v>40347</v>
      </c>
      <c r="E107" s="112">
        <v>2010</v>
      </c>
      <c r="F107" s="112" t="s">
        <v>2672</v>
      </c>
      <c r="G107" s="112" t="s">
        <v>2673</v>
      </c>
      <c r="H107" s="114" t="s">
        <v>2547</v>
      </c>
      <c r="I107" s="112">
        <f t="shared" si="16"/>
        <v>0</v>
      </c>
      <c r="J107" s="112">
        <f t="shared" si="17"/>
        <v>1</v>
      </c>
      <c r="K107" s="115" t="s">
        <v>2137</v>
      </c>
      <c r="L107" s="115" t="s">
        <v>2723</v>
      </c>
      <c r="M107" s="115" t="s">
        <v>2739</v>
      </c>
      <c r="N107" s="115">
        <v>38294</v>
      </c>
      <c r="O107" s="112">
        <v>1</v>
      </c>
      <c r="P107" s="116" t="s">
        <v>2601</v>
      </c>
      <c r="Q107" s="112" t="str">
        <f t="shared" si="18"/>
        <v/>
      </c>
      <c r="R107" s="112" t="str">
        <f t="shared" si="19"/>
        <v/>
      </c>
      <c r="S107" s="112" t="str">
        <f t="shared" si="22"/>
        <v/>
      </c>
      <c r="T107" s="112" t="str">
        <f t="shared" si="23"/>
        <v/>
      </c>
      <c r="U107" s="112" t="str">
        <f t="shared" si="24"/>
        <v/>
      </c>
      <c r="V107" s="112" t="str">
        <f t="shared" si="25"/>
        <v/>
      </c>
      <c r="W107" s="112" t="str">
        <f t="shared" si="26"/>
        <v/>
      </c>
      <c r="X107" s="112" t="str">
        <f t="shared" si="20"/>
        <v/>
      </c>
      <c r="Y107" s="112" t="str">
        <f t="shared" si="21"/>
        <v/>
      </c>
      <c r="Z107" s="112" t="str">
        <f t="shared" si="27"/>
        <v/>
      </c>
      <c r="AA107" s="112" t="str">
        <f t="shared" si="28"/>
        <v/>
      </c>
      <c r="AB107" s="112" t="str">
        <f t="shared" si="29"/>
        <v/>
      </c>
      <c r="AC107" s="112" t="str">
        <f t="shared" si="30"/>
        <v/>
      </c>
      <c r="AD107" s="112" t="str">
        <f t="shared" si="31"/>
        <v/>
      </c>
    </row>
    <row r="108" spans="1:30" x14ac:dyDescent="0.2">
      <c r="A108" s="112">
        <f>IF(SUM(Q108:R108)=1,1+MAX($A$1:A107),"")</f>
        <v>6</v>
      </c>
      <c r="B108" s="112" t="str">
        <f>IF(SUM(X108:Y108)=1,1+MAX($B$1:B107),"")</f>
        <v/>
      </c>
      <c r="C108" s="112" t="str">
        <f>IF(SUM(Q108:R108,X108:Y108)=2,1+MAX($C$1:C107),"")</f>
        <v/>
      </c>
      <c r="D108" s="113">
        <v>40347</v>
      </c>
      <c r="E108" s="112">
        <v>2010</v>
      </c>
      <c r="F108" s="112" t="s">
        <v>2677</v>
      </c>
      <c r="G108" s="112" t="s">
        <v>2678</v>
      </c>
      <c r="H108" s="114" t="s">
        <v>2635</v>
      </c>
      <c r="I108" s="112">
        <f t="shared" si="16"/>
        <v>0</v>
      </c>
      <c r="J108" s="112">
        <f t="shared" si="17"/>
        <v>0</v>
      </c>
      <c r="K108" s="115" t="s">
        <v>2545</v>
      </c>
      <c r="L108" s="115" t="s">
        <v>2729</v>
      </c>
      <c r="M108" s="115" t="s">
        <v>2621</v>
      </c>
      <c r="N108" s="115">
        <v>64100</v>
      </c>
      <c r="O108" s="112">
        <v>1</v>
      </c>
      <c r="P108" s="116" t="s">
        <v>2613</v>
      </c>
      <c r="Q108" s="112" t="str">
        <f t="shared" si="18"/>
        <v/>
      </c>
      <c r="R108" s="112">
        <f t="shared" si="19"/>
        <v>1</v>
      </c>
      <c r="S108" s="112">
        <f t="shared" si="22"/>
        <v>0</v>
      </c>
      <c r="T108" s="112">
        <f t="shared" si="23"/>
        <v>1</v>
      </c>
      <c r="U108" s="112">
        <f t="shared" si="24"/>
        <v>0</v>
      </c>
      <c r="V108" s="112">
        <f t="shared" si="25"/>
        <v>0</v>
      </c>
      <c r="W108" s="112">
        <f t="shared" si="26"/>
        <v>0</v>
      </c>
      <c r="X108" s="112" t="str">
        <f t="shared" si="20"/>
        <v/>
      </c>
      <c r="Y108" s="112" t="str">
        <f t="shared" si="21"/>
        <v/>
      </c>
      <c r="Z108" s="112" t="str">
        <f t="shared" si="27"/>
        <v/>
      </c>
      <c r="AA108" s="112" t="str">
        <f t="shared" si="28"/>
        <v/>
      </c>
      <c r="AB108" s="112" t="str">
        <f t="shared" si="29"/>
        <v/>
      </c>
      <c r="AC108" s="112" t="str">
        <f t="shared" si="30"/>
        <v/>
      </c>
      <c r="AD108" s="112" t="str">
        <f t="shared" si="31"/>
        <v/>
      </c>
    </row>
    <row r="109" spans="1:30" x14ac:dyDescent="0.2">
      <c r="A109" s="112" t="str">
        <f>IF(SUM(Q109:R109)=1,1+MAX($A$1:A108),"")</f>
        <v/>
      </c>
      <c r="B109" s="112" t="str">
        <f>IF(SUM(X109:Y109)=1,1+MAX($B$1:B108),"")</f>
        <v/>
      </c>
      <c r="C109" s="112" t="str">
        <f>IF(SUM(Q109:R109,X109:Y109)=2,1+MAX($C$1:C108),"")</f>
        <v/>
      </c>
      <c r="D109" s="113">
        <v>40347</v>
      </c>
      <c r="E109" s="112">
        <v>2010</v>
      </c>
      <c r="F109" s="112" t="s">
        <v>2677</v>
      </c>
      <c r="G109" s="112" t="s">
        <v>2678</v>
      </c>
      <c r="H109" s="114" t="s">
        <v>2718</v>
      </c>
      <c r="I109" s="112">
        <f t="shared" si="16"/>
        <v>2</v>
      </c>
      <c r="J109" s="112">
        <f t="shared" si="17"/>
        <v>2</v>
      </c>
      <c r="K109" s="115" t="s">
        <v>2614</v>
      </c>
      <c r="L109" s="115" t="s">
        <v>2730</v>
      </c>
      <c r="M109" s="115" t="s">
        <v>2758</v>
      </c>
      <c r="N109" s="115">
        <v>45573</v>
      </c>
      <c r="O109" s="112">
        <v>3</v>
      </c>
      <c r="P109" s="116" t="s">
        <v>2697</v>
      </c>
      <c r="Q109" s="112" t="str">
        <f t="shared" si="18"/>
        <v/>
      </c>
      <c r="R109" s="112" t="str">
        <f t="shared" si="19"/>
        <v/>
      </c>
      <c r="S109" s="112" t="str">
        <f t="shared" si="22"/>
        <v/>
      </c>
      <c r="T109" s="112" t="str">
        <f t="shared" si="23"/>
        <v/>
      </c>
      <c r="U109" s="112" t="str">
        <f t="shared" si="24"/>
        <v/>
      </c>
      <c r="V109" s="112" t="str">
        <f t="shared" si="25"/>
        <v/>
      </c>
      <c r="W109" s="112" t="str">
        <f t="shared" si="26"/>
        <v/>
      </c>
      <c r="X109" s="112" t="str">
        <f t="shared" si="20"/>
        <v/>
      </c>
      <c r="Y109" s="112" t="str">
        <f t="shared" si="21"/>
        <v/>
      </c>
      <c r="Z109" s="112" t="str">
        <f t="shared" si="27"/>
        <v/>
      </c>
      <c r="AA109" s="112" t="str">
        <f t="shared" si="28"/>
        <v/>
      </c>
      <c r="AB109" s="112" t="str">
        <f t="shared" si="29"/>
        <v/>
      </c>
      <c r="AC109" s="112" t="str">
        <f t="shared" si="30"/>
        <v/>
      </c>
      <c r="AD109" s="112" t="str">
        <f t="shared" si="31"/>
        <v/>
      </c>
    </row>
    <row r="110" spans="1:30" x14ac:dyDescent="0.2">
      <c r="A110" s="112" t="str">
        <f>IF(SUM(Q110:R110)=1,1+MAX($A$1:A109),"")</f>
        <v/>
      </c>
      <c r="B110" s="112" t="str">
        <f>IF(SUM(X110:Y110)=1,1+MAX($B$1:B109),"")</f>
        <v/>
      </c>
      <c r="C110" s="112" t="str">
        <f>IF(SUM(Q110:R110,X110:Y110)=2,1+MAX($C$1:C109),"")</f>
        <v/>
      </c>
      <c r="D110" s="113">
        <v>40346</v>
      </c>
      <c r="E110" s="112">
        <v>2010</v>
      </c>
      <c r="F110" s="112" t="s">
        <v>2684</v>
      </c>
      <c r="G110" s="112" t="s">
        <v>2685</v>
      </c>
      <c r="H110" s="114" t="s">
        <v>2642</v>
      </c>
      <c r="I110" s="112">
        <f t="shared" si="16"/>
        <v>2</v>
      </c>
      <c r="J110" s="112">
        <f t="shared" si="17"/>
        <v>1</v>
      </c>
      <c r="K110" s="115" t="s">
        <v>2542</v>
      </c>
      <c r="L110" s="115" t="s">
        <v>2741</v>
      </c>
      <c r="M110" s="115" t="s">
        <v>2752</v>
      </c>
      <c r="N110" s="115">
        <v>31593</v>
      </c>
      <c r="O110" s="112">
        <v>1</v>
      </c>
      <c r="P110" s="116" t="s">
        <v>2626</v>
      </c>
      <c r="Q110" s="112" t="str">
        <f t="shared" si="18"/>
        <v/>
      </c>
      <c r="R110" s="112" t="str">
        <f t="shared" si="19"/>
        <v/>
      </c>
      <c r="S110" s="112" t="str">
        <f t="shared" si="22"/>
        <v/>
      </c>
      <c r="T110" s="112" t="str">
        <f t="shared" si="23"/>
        <v/>
      </c>
      <c r="U110" s="112" t="str">
        <f t="shared" si="24"/>
        <v/>
      </c>
      <c r="V110" s="112" t="str">
        <f t="shared" si="25"/>
        <v/>
      </c>
      <c r="W110" s="112" t="str">
        <f t="shared" si="26"/>
        <v/>
      </c>
      <c r="X110" s="112" t="str">
        <f t="shared" si="20"/>
        <v/>
      </c>
      <c r="Y110" s="112" t="str">
        <f t="shared" si="21"/>
        <v/>
      </c>
      <c r="Z110" s="112" t="str">
        <f t="shared" si="27"/>
        <v/>
      </c>
      <c r="AA110" s="112" t="str">
        <f t="shared" si="28"/>
        <v/>
      </c>
      <c r="AB110" s="112" t="str">
        <f t="shared" si="29"/>
        <v/>
      </c>
      <c r="AC110" s="112" t="str">
        <f t="shared" si="30"/>
        <v/>
      </c>
      <c r="AD110" s="112" t="str">
        <f t="shared" si="31"/>
        <v/>
      </c>
    </row>
    <row r="111" spans="1:30" x14ac:dyDescent="0.2">
      <c r="A111" s="112" t="str">
        <f>IF(SUM(Q111:R111)=1,1+MAX($A$1:A110),"")</f>
        <v/>
      </c>
      <c r="B111" s="112">
        <f>IF(SUM(X111:Y111)=1,1+MAX($B$1:B110),"")</f>
        <v>11</v>
      </c>
      <c r="C111" s="112" t="str">
        <f>IF(SUM(Q111:R111,X111:Y111)=2,1+MAX($C$1:C110),"")</f>
        <v/>
      </c>
      <c r="D111" s="113">
        <v>40346</v>
      </c>
      <c r="E111" s="112">
        <v>2010</v>
      </c>
      <c r="F111" s="112" t="s">
        <v>2684</v>
      </c>
      <c r="G111" s="112" t="s">
        <v>2685</v>
      </c>
      <c r="H111" s="114" t="s">
        <v>1134</v>
      </c>
      <c r="I111" s="112">
        <f t="shared" si="16"/>
        <v>4</v>
      </c>
      <c r="J111" s="112">
        <f t="shared" si="17"/>
        <v>1</v>
      </c>
      <c r="K111" s="115" t="s">
        <v>2543</v>
      </c>
      <c r="L111" s="115" t="s">
        <v>2722</v>
      </c>
      <c r="M111" s="115" t="s">
        <v>2737</v>
      </c>
      <c r="N111" s="115">
        <v>82174</v>
      </c>
      <c r="O111" s="112">
        <v>1</v>
      </c>
      <c r="P111" s="116" t="s">
        <v>2683</v>
      </c>
      <c r="Q111" s="112" t="str">
        <f t="shared" si="18"/>
        <v/>
      </c>
      <c r="R111" s="112" t="str">
        <f t="shared" si="19"/>
        <v/>
      </c>
      <c r="S111" s="112" t="str">
        <f t="shared" si="22"/>
        <v/>
      </c>
      <c r="T111" s="112" t="str">
        <f t="shared" si="23"/>
        <v/>
      </c>
      <c r="U111" s="112" t="str">
        <f t="shared" si="24"/>
        <v/>
      </c>
      <c r="V111" s="112" t="str">
        <f t="shared" si="25"/>
        <v/>
      </c>
      <c r="W111" s="112" t="str">
        <f t="shared" si="26"/>
        <v/>
      </c>
      <c r="X111" s="112">
        <f t="shared" si="20"/>
        <v>1</v>
      </c>
      <c r="Y111" s="112" t="str">
        <f t="shared" si="21"/>
        <v/>
      </c>
      <c r="Z111" s="112">
        <f t="shared" si="27"/>
        <v>1</v>
      </c>
      <c r="AA111" s="112">
        <f t="shared" si="28"/>
        <v>0</v>
      </c>
      <c r="AB111" s="112">
        <f t="shared" si="29"/>
        <v>0</v>
      </c>
      <c r="AC111" s="112">
        <f t="shared" si="30"/>
        <v>5</v>
      </c>
      <c r="AD111" s="112">
        <f t="shared" si="31"/>
        <v>3</v>
      </c>
    </row>
    <row r="112" spans="1:30" x14ac:dyDescent="0.2">
      <c r="A112" s="112" t="str">
        <f>IF(SUM(Q112:R112)=1,1+MAX($A$1:A111),"")</f>
        <v/>
      </c>
      <c r="B112" s="112" t="str">
        <f>IF(SUM(X112:Y112)=1,1+MAX($B$1:B111),"")</f>
        <v/>
      </c>
      <c r="C112" s="112" t="str">
        <f>IF(SUM(Q112:R112,X112:Y112)=2,1+MAX($C$1:C111),"")</f>
        <v/>
      </c>
      <c r="D112" s="113">
        <v>40346</v>
      </c>
      <c r="E112" s="112">
        <v>2010</v>
      </c>
      <c r="F112" s="112" t="s">
        <v>2689</v>
      </c>
      <c r="G112" s="112" t="s">
        <v>2690</v>
      </c>
      <c r="H112" s="114" t="s">
        <v>2541</v>
      </c>
      <c r="I112" s="112">
        <f t="shared" si="16"/>
        <v>0</v>
      </c>
      <c r="J112" s="112">
        <f t="shared" si="17"/>
        <v>2</v>
      </c>
      <c r="K112" s="115" t="s">
        <v>1061</v>
      </c>
      <c r="L112" s="115" t="s">
        <v>2747</v>
      </c>
      <c r="M112" s="115" t="s">
        <v>2753</v>
      </c>
      <c r="N112" s="115">
        <v>35370</v>
      </c>
      <c r="O112" s="112">
        <v>1</v>
      </c>
      <c r="P112" s="116" t="s">
        <v>2687</v>
      </c>
      <c r="Q112" s="112" t="str">
        <f t="shared" si="18"/>
        <v/>
      </c>
      <c r="R112" s="112" t="str">
        <f t="shared" si="19"/>
        <v/>
      </c>
      <c r="S112" s="112" t="str">
        <f t="shared" si="22"/>
        <v/>
      </c>
      <c r="T112" s="112" t="str">
        <f t="shared" si="23"/>
        <v/>
      </c>
      <c r="U112" s="112" t="str">
        <f t="shared" si="24"/>
        <v/>
      </c>
      <c r="V112" s="112" t="str">
        <f t="shared" si="25"/>
        <v/>
      </c>
      <c r="W112" s="112" t="str">
        <f t="shared" si="26"/>
        <v/>
      </c>
      <c r="X112" s="112" t="str">
        <f t="shared" si="20"/>
        <v/>
      </c>
      <c r="Y112" s="112" t="str">
        <f t="shared" si="21"/>
        <v/>
      </c>
      <c r="Z112" s="112" t="str">
        <f t="shared" si="27"/>
        <v/>
      </c>
      <c r="AA112" s="112" t="str">
        <f t="shared" si="28"/>
        <v/>
      </c>
      <c r="AB112" s="112" t="str">
        <f t="shared" si="29"/>
        <v/>
      </c>
      <c r="AC112" s="112" t="str">
        <f t="shared" si="30"/>
        <v/>
      </c>
      <c r="AD112" s="112" t="str">
        <f t="shared" si="31"/>
        <v/>
      </c>
    </row>
    <row r="113" spans="1:30" x14ac:dyDescent="0.2">
      <c r="A113" s="112" t="str">
        <f>IF(SUM(Q113:R113)=1,1+MAX($A$1:A112),"")</f>
        <v/>
      </c>
      <c r="B113" s="112" t="str">
        <f>IF(SUM(X113:Y113)=1,1+MAX($B$1:B112),"")</f>
        <v/>
      </c>
      <c r="C113" s="112" t="str">
        <f>IF(SUM(Q113:R113,X113:Y113)=2,1+MAX($C$1:C112),"")</f>
        <v/>
      </c>
      <c r="D113" s="113">
        <v>40345</v>
      </c>
      <c r="E113" s="112">
        <v>2010</v>
      </c>
      <c r="F113" s="112" t="s">
        <v>2652</v>
      </c>
      <c r="G113" s="112" t="s">
        <v>2653</v>
      </c>
      <c r="H113" s="114" t="s">
        <v>2557</v>
      </c>
      <c r="I113" s="112">
        <f t="shared" si="16"/>
        <v>0</v>
      </c>
      <c r="J113" s="112">
        <f t="shared" si="17"/>
        <v>1</v>
      </c>
      <c r="K113" s="115" t="s">
        <v>2558</v>
      </c>
      <c r="L113" s="115" t="s">
        <v>2726</v>
      </c>
      <c r="M113" s="115" t="s">
        <v>2651</v>
      </c>
      <c r="N113" s="115">
        <v>62453</v>
      </c>
      <c r="O113" s="112">
        <v>1</v>
      </c>
      <c r="P113" s="116" t="s">
        <v>2601</v>
      </c>
      <c r="Q113" s="112" t="str">
        <f t="shared" si="18"/>
        <v/>
      </c>
      <c r="R113" s="112" t="str">
        <f t="shared" si="19"/>
        <v/>
      </c>
      <c r="S113" s="112" t="str">
        <f t="shared" si="22"/>
        <v/>
      </c>
      <c r="T113" s="112" t="str">
        <f t="shared" si="23"/>
        <v/>
      </c>
      <c r="U113" s="112" t="str">
        <f t="shared" si="24"/>
        <v/>
      </c>
      <c r="V113" s="112" t="str">
        <f t="shared" si="25"/>
        <v/>
      </c>
      <c r="W113" s="112" t="str">
        <f t="shared" si="26"/>
        <v/>
      </c>
      <c r="X113" s="112" t="str">
        <f t="shared" si="20"/>
        <v/>
      </c>
      <c r="Y113" s="112" t="str">
        <f t="shared" si="21"/>
        <v/>
      </c>
      <c r="Z113" s="112" t="str">
        <f t="shared" si="27"/>
        <v/>
      </c>
      <c r="AA113" s="112" t="str">
        <f t="shared" si="28"/>
        <v/>
      </c>
      <c r="AB113" s="112" t="str">
        <f t="shared" si="29"/>
        <v/>
      </c>
      <c r="AC113" s="112" t="str">
        <f t="shared" si="30"/>
        <v/>
      </c>
      <c r="AD113" s="112" t="str">
        <f t="shared" si="31"/>
        <v/>
      </c>
    </row>
    <row r="114" spans="1:30" x14ac:dyDescent="0.2">
      <c r="A114" s="112" t="str">
        <f>IF(SUM(Q114:R114)=1,1+MAX($A$1:A113),"")</f>
        <v/>
      </c>
      <c r="B114" s="112" t="str">
        <f>IF(SUM(X114:Y114)=1,1+MAX($B$1:B113),"")</f>
        <v/>
      </c>
      <c r="C114" s="112" t="str">
        <f>IF(SUM(Q114:R114,X114:Y114)=2,1+MAX($C$1:C113),"")</f>
        <v/>
      </c>
      <c r="D114" s="113">
        <v>40345</v>
      </c>
      <c r="E114" s="112">
        <v>2010</v>
      </c>
      <c r="F114" s="112" t="s">
        <v>2652</v>
      </c>
      <c r="G114" s="112" t="s">
        <v>2653</v>
      </c>
      <c r="H114" s="114" t="s">
        <v>2650</v>
      </c>
      <c r="I114" s="112">
        <f t="shared" si="16"/>
        <v>1</v>
      </c>
      <c r="J114" s="112">
        <f t="shared" si="17"/>
        <v>0</v>
      </c>
      <c r="K114" s="115" t="s">
        <v>2669</v>
      </c>
      <c r="L114" s="115" t="s">
        <v>2746</v>
      </c>
      <c r="M114" s="115" t="s">
        <v>2756</v>
      </c>
      <c r="N114" s="115">
        <v>32664</v>
      </c>
      <c r="O114" s="112">
        <v>1</v>
      </c>
      <c r="P114" s="116" t="s">
        <v>2622</v>
      </c>
      <c r="Q114" s="112" t="str">
        <f t="shared" si="18"/>
        <v/>
      </c>
      <c r="R114" s="112" t="str">
        <f t="shared" si="19"/>
        <v/>
      </c>
      <c r="S114" s="112" t="str">
        <f t="shared" si="22"/>
        <v/>
      </c>
      <c r="T114" s="112" t="str">
        <f t="shared" si="23"/>
        <v/>
      </c>
      <c r="U114" s="112" t="str">
        <f t="shared" si="24"/>
        <v/>
      </c>
      <c r="V114" s="112" t="str">
        <f t="shared" si="25"/>
        <v/>
      </c>
      <c r="W114" s="112" t="str">
        <f t="shared" si="26"/>
        <v/>
      </c>
      <c r="X114" s="112" t="str">
        <f t="shared" si="20"/>
        <v/>
      </c>
      <c r="Y114" s="112" t="str">
        <f t="shared" si="21"/>
        <v/>
      </c>
      <c r="Z114" s="112" t="str">
        <f t="shared" si="27"/>
        <v/>
      </c>
      <c r="AA114" s="112" t="str">
        <f t="shared" si="28"/>
        <v/>
      </c>
      <c r="AB114" s="112" t="str">
        <f t="shared" si="29"/>
        <v/>
      </c>
      <c r="AC114" s="112" t="str">
        <f t="shared" si="30"/>
        <v/>
      </c>
      <c r="AD114" s="112" t="str">
        <f t="shared" si="31"/>
        <v/>
      </c>
    </row>
    <row r="115" spans="1:30" x14ac:dyDescent="0.2">
      <c r="A115" s="112" t="str">
        <f>IF(SUM(Q115:R115)=1,1+MAX($A$1:A114),"")</f>
        <v/>
      </c>
      <c r="B115" s="112" t="str">
        <f>IF(SUM(X115:Y115)=1,1+MAX($B$1:B114),"")</f>
        <v/>
      </c>
      <c r="C115" s="112" t="str">
        <f>IF(SUM(Q115:R115,X115:Y115)=2,1+MAX($C$1:C114),"")</f>
        <v/>
      </c>
      <c r="D115" s="113">
        <v>40345</v>
      </c>
      <c r="E115" s="112">
        <v>2010</v>
      </c>
      <c r="F115" s="112" t="s">
        <v>2689</v>
      </c>
      <c r="G115" s="112" t="s">
        <v>2690</v>
      </c>
      <c r="H115" s="114" t="s">
        <v>2692</v>
      </c>
      <c r="I115" s="112">
        <f t="shared" si="16"/>
        <v>0</v>
      </c>
      <c r="J115" s="112">
        <f t="shared" si="17"/>
        <v>3</v>
      </c>
      <c r="K115" s="115" t="s">
        <v>2540</v>
      </c>
      <c r="L115" s="115" t="s">
        <v>2736</v>
      </c>
      <c r="M115" s="115" t="s">
        <v>2759</v>
      </c>
      <c r="N115" s="115">
        <v>42658</v>
      </c>
      <c r="O115" s="112">
        <v>2</v>
      </c>
      <c r="P115" s="116" t="s">
        <v>2607</v>
      </c>
      <c r="Q115" s="112" t="str">
        <f t="shared" si="18"/>
        <v/>
      </c>
      <c r="R115" s="112" t="str">
        <f t="shared" si="19"/>
        <v/>
      </c>
      <c r="S115" s="112" t="str">
        <f t="shared" si="22"/>
        <v/>
      </c>
      <c r="T115" s="112" t="str">
        <f t="shared" si="23"/>
        <v/>
      </c>
      <c r="U115" s="112" t="str">
        <f t="shared" si="24"/>
        <v/>
      </c>
      <c r="V115" s="112" t="str">
        <f t="shared" si="25"/>
        <v/>
      </c>
      <c r="W115" s="112" t="str">
        <f t="shared" si="26"/>
        <v/>
      </c>
      <c r="X115" s="112" t="str">
        <f t="shared" si="20"/>
        <v/>
      </c>
      <c r="Y115" s="112" t="str">
        <f t="shared" si="21"/>
        <v/>
      </c>
      <c r="Z115" s="112" t="str">
        <f t="shared" si="27"/>
        <v/>
      </c>
      <c r="AA115" s="112" t="str">
        <f t="shared" si="28"/>
        <v/>
      </c>
      <c r="AB115" s="112" t="str">
        <f t="shared" si="29"/>
        <v/>
      </c>
      <c r="AC115" s="112" t="str">
        <f t="shared" si="30"/>
        <v/>
      </c>
      <c r="AD115" s="112" t="str">
        <f t="shared" si="31"/>
        <v/>
      </c>
    </row>
    <row r="116" spans="1:30" x14ac:dyDescent="0.2">
      <c r="A116" s="112" t="str">
        <f>IF(SUM(Q116:R116)=1,1+MAX($A$1:A115),"")</f>
        <v/>
      </c>
      <c r="B116" s="112" t="str">
        <f>IF(SUM(X116:Y116)=1,1+MAX($B$1:B115),"")</f>
        <v/>
      </c>
      <c r="C116" s="112" t="str">
        <f>IF(SUM(Q116:R116,X116:Y116)=2,1+MAX($C$1:C115),"")</f>
        <v/>
      </c>
      <c r="D116" s="113">
        <v>40344</v>
      </c>
      <c r="E116" s="112">
        <v>2010</v>
      </c>
      <c r="F116" s="112" t="s">
        <v>2656</v>
      </c>
      <c r="G116" s="112" t="s">
        <v>2657</v>
      </c>
      <c r="H116" s="114" t="s">
        <v>1442</v>
      </c>
      <c r="I116" s="112">
        <f t="shared" si="16"/>
        <v>2</v>
      </c>
      <c r="J116" s="112">
        <f t="shared" si="17"/>
        <v>1</v>
      </c>
      <c r="K116" s="115" t="s">
        <v>2716</v>
      </c>
      <c r="L116" s="115" t="s">
        <v>2730</v>
      </c>
      <c r="M116" s="115" t="s">
        <v>2727</v>
      </c>
      <c r="N116" s="115">
        <v>54331</v>
      </c>
      <c r="O116" s="112">
        <v>1</v>
      </c>
      <c r="P116" s="116" t="s">
        <v>2626</v>
      </c>
      <c r="Q116" s="112" t="str">
        <f t="shared" si="18"/>
        <v/>
      </c>
      <c r="R116" s="112" t="str">
        <f t="shared" si="19"/>
        <v/>
      </c>
      <c r="S116" s="112" t="str">
        <f t="shared" si="22"/>
        <v/>
      </c>
      <c r="T116" s="112" t="str">
        <f t="shared" si="23"/>
        <v/>
      </c>
      <c r="U116" s="112" t="str">
        <f t="shared" si="24"/>
        <v/>
      </c>
      <c r="V116" s="112" t="str">
        <f t="shared" si="25"/>
        <v/>
      </c>
      <c r="W116" s="112" t="str">
        <f t="shared" si="26"/>
        <v/>
      </c>
      <c r="X116" s="112" t="str">
        <f t="shared" si="20"/>
        <v/>
      </c>
      <c r="Y116" s="112" t="str">
        <f t="shared" si="21"/>
        <v/>
      </c>
      <c r="Z116" s="112" t="str">
        <f t="shared" si="27"/>
        <v/>
      </c>
      <c r="AA116" s="112" t="str">
        <f t="shared" si="28"/>
        <v/>
      </c>
      <c r="AB116" s="112" t="str">
        <f t="shared" si="29"/>
        <v/>
      </c>
      <c r="AC116" s="112" t="str">
        <f t="shared" si="30"/>
        <v/>
      </c>
      <c r="AD116" s="112" t="str">
        <f t="shared" si="31"/>
        <v/>
      </c>
    </row>
    <row r="117" spans="1:30" x14ac:dyDescent="0.2">
      <c r="A117" s="112" t="str">
        <f>IF(SUM(Q117:R117)=1,1+MAX($A$1:A116),"")</f>
        <v/>
      </c>
      <c r="B117" s="112" t="str">
        <f>IF(SUM(X117:Y117)=1,1+MAX($B$1:B116),"")</f>
        <v/>
      </c>
      <c r="C117" s="112" t="str">
        <f>IF(SUM(Q117:R117,X117:Y117)=2,1+MAX($C$1:C116),"")</f>
        <v/>
      </c>
      <c r="D117" s="113">
        <v>40344</v>
      </c>
      <c r="E117" s="112">
        <v>2010</v>
      </c>
      <c r="F117" s="112" t="s">
        <v>2656</v>
      </c>
      <c r="G117" s="112" t="s">
        <v>2657</v>
      </c>
      <c r="H117" s="114" t="s">
        <v>2679</v>
      </c>
      <c r="I117" s="112">
        <f t="shared" si="16"/>
        <v>0</v>
      </c>
      <c r="J117" s="112">
        <f t="shared" si="17"/>
        <v>0</v>
      </c>
      <c r="K117" s="115" t="s">
        <v>2556</v>
      </c>
      <c r="L117" s="115" t="s">
        <v>2723</v>
      </c>
      <c r="M117" s="115" t="s">
        <v>2742</v>
      </c>
      <c r="N117" s="115">
        <v>37034</v>
      </c>
      <c r="O117" s="112">
        <v>1</v>
      </c>
      <c r="P117" s="116" t="s">
        <v>2613</v>
      </c>
      <c r="Q117" s="112" t="str">
        <f t="shared" si="18"/>
        <v/>
      </c>
      <c r="R117" s="112" t="str">
        <f t="shared" si="19"/>
        <v/>
      </c>
      <c r="S117" s="112" t="str">
        <f t="shared" si="22"/>
        <v/>
      </c>
      <c r="T117" s="112" t="str">
        <f t="shared" si="23"/>
        <v/>
      </c>
      <c r="U117" s="112" t="str">
        <f t="shared" si="24"/>
        <v/>
      </c>
      <c r="V117" s="112" t="str">
        <f t="shared" si="25"/>
        <v/>
      </c>
      <c r="W117" s="112" t="str">
        <f t="shared" si="26"/>
        <v/>
      </c>
      <c r="X117" s="112" t="str">
        <f t="shared" si="20"/>
        <v/>
      </c>
      <c r="Y117" s="112" t="str">
        <f t="shared" si="21"/>
        <v/>
      </c>
      <c r="Z117" s="112" t="str">
        <f t="shared" si="27"/>
        <v/>
      </c>
      <c r="AA117" s="112" t="str">
        <f t="shared" si="28"/>
        <v/>
      </c>
      <c r="AB117" s="112" t="str">
        <f t="shared" si="29"/>
        <v/>
      </c>
      <c r="AC117" s="112" t="str">
        <f t="shared" si="30"/>
        <v/>
      </c>
      <c r="AD117" s="112" t="str">
        <f t="shared" si="31"/>
        <v/>
      </c>
    </row>
    <row r="118" spans="1:30" x14ac:dyDescent="0.2">
      <c r="A118" s="112" t="str">
        <f>IF(SUM(Q118:R118)=1,1+MAX($A$1:A117),"")</f>
        <v/>
      </c>
      <c r="B118" s="112" t="str">
        <f>IF(SUM(X118:Y118)=1,1+MAX($B$1:B117),"")</f>
        <v/>
      </c>
      <c r="C118" s="112" t="str">
        <f>IF(SUM(Q118:R118,X118:Y118)=2,1+MAX($C$1:C117),"")</f>
        <v/>
      </c>
      <c r="D118" s="113">
        <v>40344</v>
      </c>
      <c r="E118" s="112">
        <v>2010</v>
      </c>
      <c r="F118" s="112" t="s">
        <v>2661</v>
      </c>
      <c r="G118" s="112" t="s">
        <v>2662</v>
      </c>
      <c r="H118" s="114" t="s">
        <v>2733</v>
      </c>
      <c r="I118" s="112">
        <f t="shared" si="16"/>
        <v>1</v>
      </c>
      <c r="J118" s="112">
        <f t="shared" si="17"/>
        <v>1</v>
      </c>
      <c r="K118" s="115" t="s">
        <v>2738</v>
      </c>
      <c r="L118" s="115" t="s">
        <v>2744</v>
      </c>
      <c r="M118" s="115" t="s">
        <v>2750</v>
      </c>
      <c r="N118" s="115">
        <v>23871</v>
      </c>
      <c r="O118" s="112">
        <v>1</v>
      </c>
      <c r="P118" s="116" t="s">
        <v>2645</v>
      </c>
      <c r="Q118" s="112" t="str">
        <f t="shared" si="18"/>
        <v/>
      </c>
      <c r="R118" s="112" t="str">
        <f t="shared" si="19"/>
        <v/>
      </c>
      <c r="S118" s="112" t="str">
        <f t="shared" si="22"/>
        <v/>
      </c>
      <c r="T118" s="112" t="str">
        <f t="shared" si="23"/>
        <v/>
      </c>
      <c r="U118" s="112" t="str">
        <f t="shared" si="24"/>
        <v/>
      </c>
      <c r="V118" s="112" t="str">
        <f t="shared" si="25"/>
        <v/>
      </c>
      <c r="W118" s="112" t="str">
        <f t="shared" si="26"/>
        <v/>
      </c>
      <c r="X118" s="112" t="str">
        <f t="shared" si="20"/>
        <v/>
      </c>
      <c r="Y118" s="112" t="str">
        <f t="shared" si="21"/>
        <v/>
      </c>
      <c r="Z118" s="112" t="str">
        <f t="shared" si="27"/>
        <v/>
      </c>
      <c r="AA118" s="112" t="str">
        <f t="shared" si="28"/>
        <v/>
      </c>
      <c r="AB118" s="112" t="str">
        <f t="shared" si="29"/>
        <v/>
      </c>
      <c r="AC118" s="112" t="str">
        <f t="shared" si="30"/>
        <v/>
      </c>
      <c r="AD118" s="112" t="str">
        <f t="shared" si="31"/>
        <v/>
      </c>
    </row>
    <row r="119" spans="1:30" x14ac:dyDescent="0.2">
      <c r="A119" s="112" t="str">
        <f>IF(SUM(Q119:R119)=1,1+MAX($A$1:A118),"")</f>
        <v/>
      </c>
      <c r="B119" s="112" t="str">
        <f>IF(SUM(X119:Y119)=1,1+MAX($B$1:B118),"")</f>
        <v/>
      </c>
      <c r="C119" s="112" t="str">
        <f>IF(SUM(Q119:R119,X119:Y119)=2,1+MAX($C$1:C118),"")</f>
        <v/>
      </c>
      <c r="D119" s="113">
        <v>40343</v>
      </c>
      <c r="E119" s="112">
        <v>2010</v>
      </c>
      <c r="F119" s="112" t="s">
        <v>2661</v>
      </c>
      <c r="G119" s="112" t="s">
        <v>2662</v>
      </c>
      <c r="H119" s="114" t="s">
        <v>2674</v>
      </c>
      <c r="I119" s="112">
        <f t="shared" si="16"/>
        <v>1</v>
      </c>
      <c r="J119" s="112">
        <f t="shared" si="17"/>
        <v>1</v>
      </c>
      <c r="K119" s="115" t="s">
        <v>2709</v>
      </c>
      <c r="L119" s="115" t="s">
        <v>2729</v>
      </c>
      <c r="M119" s="115" t="s">
        <v>2760</v>
      </c>
      <c r="N119" s="115">
        <v>62869</v>
      </c>
      <c r="O119" s="112">
        <v>1</v>
      </c>
      <c r="P119" s="116" t="s">
        <v>2645</v>
      </c>
      <c r="Q119" s="112" t="str">
        <f t="shared" si="18"/>
        <v/>
      </c>
      <c r="R119" s="112" t="str">
        <f t="shared" si="19"/>
        <v/>
      </c>
      <c r="S119" s="112" t="str">
        <f t="shared" si="22"/>
        <v/>
      </c>
      <c r="T119" s="112" t="str">
        <f t="shared" si="23"/>
        <v/>
      </c>
      <c r="U119" s="112" t="str">
        <f t="shared" si="24"/>
        <v/>
      </c>
      <c r="V119" s="112" t="str">
        <f t="shared" si="25"/>
        <v/>
      </c>
      <c r="W119" s="112" t="str">
        <f t="shared" si="26"/>
        <v/>
      </c>
      <c r="X119" s="112" t="str">
        <f t="shared" si="20"/>
        <v/>
      </c>
      <c r="Y119" s="112" t="str">
        <f t="shared" si="21"/>
        <v/>
      </c>
      <c r="Z119" s="112" t="str">
        <f t="shared" si="27"/>
        <v/>
      </c>
      <c r="AA119" s="112" t="str">
        <f t="shared" si="28"/>
        <v/>
      </c>
      <c r="AB119" s="112" t="str">
        <f t="shared" si="29"/>
        <v/>
      </c>
      <c r="AC119" s="112" t="str">
        <f t="shared" si="30"/>
        <v/>
      </c>
      <c r="AD119" s="112" t="str">
        <f t="shared" si="31"/>
        <v/>
      </c>
    </row>
    <row r="120" spans="1:30" x14ac:dyDescent="0.2">
      <c r="A120" s="112" t="str">
        <f>IF(SUM(Q120:R120)=1,1+MAX($A$1:A119),"")</f>
        <v/>
      </c>
      <c r="B120" s="112" t="str">
        <f>IF(SUM(X120:Y120)=1,1+MAX($B$1:B119),"")</f>
        <v/>
      </c>
      <c r="C120" s="112" t="str">
        <f>IF(SUM(Q120:R120,X120:Y120)=2,1+MAX($C$1:C119),"")</f>
        <v/>
      </c>
      <c r="D120" s="113">
        <v>40343</v>
      </c>
      <c r="E120" s="112">
        <v>2010</v>
      </c>
      <c r="F120" s="112" t="s">
        <v>2666</v>
      </c>
      <c r="G120" s="112" t="s">
        <v>2667</v>
      </c>
      <c r="H120" s="114" t="s">
        <v>2693</v>
      </c>
      <c r="I120" s="112">
        <f t="shared" si="16"/>
        <v>0</v>
      </c>
      <c r="J120" s="112">
        <f t="shared" si="17"/>
        <v>1</v>
      </c>
      <c r="K120" s="115" t="s">
        <v>1395</v>
      </c>
      <c r="L120" s="115" t="s">
        <v>2741</v>
      </c>
      <c r="M120" s="115" t="s">
        <v>2734</v>
      </c>
      <c r="N120" s="115">
        <v>30620</v>
      </c>
      <c r="O120" s="112">
        <v>1</v>
      </c>
      <c r="P120" s="116" t="s">
        <v>2601</v>
      </c>
      <c r="Q120" s="112" t="str">
        <f t="shared" si="18"/>
        <v/>
      </c>
      <c r="R120" s="112" t="str">
        <f t="shared" si="19"/>
        <v/>
      </c>
      <c r="S120" s="112" t="str">
        <f t="shared" si="22"/>
        <v/>
      </c>
      <c r="T120" s="112" t="str">
        <f t="shared" si="23"/>
        <v/>
      </c>
      <c r="U120" s="112" t="str">
        <f t="shared" si="24"/>
        <v/>
      </c>
      <c r="V120" s="112" t="str">
        <f t="shared" si="25"/>
        <v/>
      </c>
      <c r="W120" s="112" t="str">
        <f t="shared" si="26"/>
        <v/>
      </c>
      <c r="X120" s="112" t="str">
        <f t="shared" si="20"/>
        <v/>
      </c>
      <c r="Y120" s="112" t="str">
        <f t="shared" si="21"/>
        <v/>
      </c>
      <c r="Z120" s="112" t="str">
        <f t="shared" si="27"/>
        <v/>
      </c>
      <c r="AA120" s="112" t="str">
        <f t="shared" si="28"/>
        <v/>
      </c>
      <c r="AB120" s="112" t="str">
        <f t="shared" si="29"/>
        <v/>
      </c>
      <c r="AC120" s="112" t="str">
        <f t="shared" si="30"/>
        <v/>
      </c>
      <c r="AD120" s="112" t="str">
        <f t="shared" si="31"/>
        <v/>
      </c>
    </row>
    <row r="121" spans="1:30" x14ac:dyDescent="0.2">
      <c r="A121" s="112" t="str">
        <f>IF(SUM(Q121:R121)=1,1+MAX($A$1:A120),"")</f>
        <v/>
      </c>
      <c r="B121" s="112" t="str">
        <f>IF(SUM(X121:Y121)=1,1+MAX($B$1:B120),"")</f>
        <v/>
      </c>
      <c r="C121" s="112" t="str">
        <f>IF(SUM(Q121:R121,X121:Y121)=2,1+MAX($C$1:C120),"")</f>
        <v/>
      </c>
      <c r="D121" s="113">
        <v>40343</v>
      </c>
      <c r="E121" s="112">
        <v>2010</v>
      </c>
      <c r="F121" s="112" t="s">
        <v>2666</v>
      </c>
      <c r="G121" s="112" t="s">
        <v>2667</v>
      </c>
      <c r="H121" s="114" t="s">
        <v>2548</v>
      </c>
      <c r="I121" s="112">
        <f t="shared" si="16"/>
        <v>0</v>
      </c>
      <c r="J121" s="112">
        <f t="shared" si="17"/>
        <v>2</v>
      </c>
      <c r="K121" s="115" t="s">
        <v>2604</v>
      </c>
      <c r="L121" s="115" t="s">
        <v>2722</v>
      </c>
      <c r="M121" s="115" t="s">
        <v>2755</v>
      </c>
      <c r="N121" s="115">
        <v>83465</v>
      </c>
      <c r="O121" s="112">
        <v>1</v>
      </c>
      <c r="P121" s="116" t="s">
        <v>2687</v>
      </c>
      <c r="Q121" s="112" t="str">
        <f t="shared" si="18"/>
        <v/>
      </c>
      <c r="R121" s="112" t="str">
        <f t="shared" si="19"/>
        <v/>
      </c>
      <c r="S121" s="112" t="str">
        <f t="shared" si="22"/>
        <v/>
      </c>
      <c r="T121" s="112" t="str">
        <f t="shared" si="23"/>
        <v/>
      </c>
      <c r="U121" s="112" t="str">
        <f t="shared" si="24"/>
        <v/>
      </c>
      <c r="V121" s="112" t="str">
        <f t="shared" si="25"/>
        <v/>
      </c>
      <c r="W121" s="112" t="str">
        <f t="shared" si="26"/>
        <v/>
      </c>
      <c r="X121" s="112" t="str">
        <f t="shared" si="20"/>
        <v/>
      </c>
      <c r="Y121" s="112" t="str">
        <f t="shared" si="21"/>
        <v/>
      </c>
      <c r="Z121" s="112" t="str">
        <f t="shared" si="27"/>
        <v/>
      </c>
      <c r="AA121" s="112" t="str">
        <f t="shared" si="28"/>
        <v/>
      </c>
      <c r="AB121" s="112" t="str">
        <f t="shared" si="29"/>
        <v/>
      </c>
      <c r="AC121" s="112" t="str">
        <f t="shared" si="30"/>
        <v/>
      </c>
      <c r="AD121" s="112" t="str">
        <f t="shared" si="31"/>
        <v/>
      </c>
    </row>
    <row r="122" spans="1:30" x14ac:dyDescent="0.2">
      <c r="A122" s="112" t="str">
        <f>IF(SUM(Q122:R122)=1,1+MAX($A$1:A121),"")</f>
        <v/>
      </c>
      <c r="B122" s="112" t="str">
        <f>IF(SUM(X122:Y122)=1,1+MAX($B$1:B121),"")</f>
        <v/>
      </c>
      <c r="C122" s="112" t="str">
        <f>IF(SUM(Q122:R122,X122:Y122)=2,1+MAX($C$1:C121),"")</f>
        <v/>
      </c>
      <c r="D122" s="113">
        <v>40342</v>
      </c>
      <c r="E122" s="112">
        <v>2010</v>
      </c>
      <c r="F122" s="112" t="s">
        <v>2672</v>
      </c>
      <c r="G122" s="112" t="s">
        <v>2673</v>
      </c>
      <c r="H122" s="114" t="s">
        <v>1317</v>
      </c>
      <c r="I122" s="112">
        <f t="shared" si="16"/>
        <v>0</v>
      </c>
      <c r="J122" s="112">
        <f t="shared" si="17"/>
        <v>4</v>
      </c>
      <c r="K122" s="115" t="s">
        <v>2547</v>
      </c>
      <c r="L122" s="115" t="s">
        <v>2726</v>
      </c>
      <c r="M122" s="115" t="s">
        <v>2761</v>
      </c>
      <c r="N122" s="115">
        <v>62660</v>
      </c>
      <c r="O122" s="112">
        <v>1</v>
      </c>
      <c r="P122" s="116" t="s">
        <v>2708</v>
      </c>
      <c r="Q122" s="112" t="str">
        <f t="shared" si="18"/>
        <v/>
      </c>
      <c r="R122" s="112" t="str">
        <f t="shared" si="19"/>
        <v/>
      </c>
      <c r="S122" s="112" t="str">
        <f t="shared" si="22"/>
        <v/>
      </c>
      <c r="T122" s="112" t="str">
        <f t="shared" si="23"/>
        <v/>
      </c>
      <c r="U122" s="112" t="str">
        <f t="shared" si="24"/>
        <v/>
      </c>
      <c r="V122" s="112" t="str">
        <f t="shared" si="25"/>
        <v/>
      </c>
      <c r="W122" s="112" t="str">
        <f t="shared" si="26"/>
        <v/>
      </c>
      <c r="X122" s="112" t="str">
        <f t="shared" si="20"/>
        <v/>
      </c>
      <c r="Y122" s="112" t="str">
        <f t="shared" si="21"/>
        <v/>
      </c>
      <c r="Z122" s="112" t="str">
        <f t="shared" si="27"/>
        <v/>
      </c>
      <c r="AA122" s="112" t="str">
        <f t="shared" si="28"/>
        <v/>
      </c>
      <c r="AB122" s="112" t="str">
        <f t="shared" si="29"/>
        <v/>
      </c>
      <c r="AC122" s="112" t="str">
        <f t="shared" si="30"/>
        <v/>
      </c>
      <c r="AD122" s="112" t="str">
        <f t="shared" si="31"/>
        <v/>
      </c>
    </row>
    <row r="123" spans="1:30" x14ac:dyDescent="0.2">
      <c r="A123" s="112" t="str">
        <f>IF(SUM(Q123:R123)=1,1+MAX($A$1:A122),"")</f>
        <v/>
      </c>
      <c r="B123" s="112" t="str">
        <f>IF(SUM(X123:Y123)=1,1+MAX($B$1:B122),"")</f>
        <v/>
      </c>
      <c r="C123" s="112" t="str">
        <f>IF(SUM(Q123:R123,X123:Y123)=2,1+MAX($C$1:C122),"")</f>
        <v/>
      </c>
      <c r="D123" s="113">
        <v>40342</v>
      </c>
      <c r="E123" s="112">
        <v>2010</v>
      </c>
      <c r="F123" s="112" t="s">
        <v>2672</v>
      </c>
      <c r="G123" s="112" t="s">
        <v>2673</v>
      </c>
      <c r="H123" s="114" t="s">
        <v>2658</v>
      </c>
      <c r="I123" s="112">
        <f t="shared" si="16"/>
        <v>1</v>
      </c>
      <c r="J123" s="112">
        <f t="shared" si="17"/>
        <v>0</v>
      </c>
      <c r="K123" s="115" t="s">
        <v>2137</v>
      </c>
      <c r="L123" s="115" t="s">
        <v>2736</v>
      </c>
      <c r="M123" s="115" t="s">
        <v>2735</v>
      </c>
      <c r="N123" s="115">
        <v>38833</v>
      </c>
      <c r="O123" s="112">
        <v>1</v>
      </c>
      <c r="P123" s="116" t="s">
        <v>2622</v>
      </c>
      <c r="Q123" s="112" t="str">
        <f t="shared" si="18"/>
        <v/>
      </c>
      <c r="R123" s="112" t="str">
        <f t="shared" si="19"/>
        <v/>
      </c>
      <c r="S123" s="112" t="str">
        <f t="shared" si="22"/>
        <v/>
      </c>
      <c r="T123" s="112" t="str">
        <f t="shared" si="23"/>
        <v/>
      </c>
      <c r="U123" s="112" t="str">
        <f t="shared" si="24"/>
        <v/>
      </c>
      <c r="V123" s="112" t="str">
        <f t="shared" si="25"/>
        <v/>
      </c>
      <c r="W123" s="112" t="str">
        <f t="shared" si="26"/>
        <v/>
      </c>
      <c r="X123" s="112" t="str">
        <f t="shared" si="20"/>
        <v/>
      </c>
      <c r="Y123" s="112" t="str">
        <f t="shared" si="21"/>
        <v/>
      </c>
      <c r="Z123" s="112" t="str">
        <f t="shared" si="27"/>
        <v/>
      </c>
      <c r="AA123" s="112" t="str">
        <f t="shared" si="28"/>
        <v/>
      </c>
      <c r="AB123" s="112" t="str">
        <f t="shared" si="29"/>
        <v/>
      </c>
      <c r="AC123" s="112" t="str">
        <f t="shared" si="30"/>
        <v/>
      </c>
      <c r="AD123" s="112" t="str">
        <f t="shared" si="31"/>
        <v/>
      </c>
    </row>
    <row r="124" spans="1:30" x14ac:dyDescent="0.2">
      <c r="A124" s="112" t="str">
        <f>IF(SUM(Q124:R124)=1,1+MAX($A$1:A123),"")</f>
        <v/>
      </c>
      <c r="B124" s="112" t="str">
        <f>IF(SUM(X124:Y124)=1,1+MAX($B$1:B123),"")</f>
        <v/>
      </c>
      <c r="C124" s="112" t="str">
        <f>IF(SUM(Q124:R124,X124:Y124)=2,1+MAX($C$1:C123),"")</f>
        <v/>
      </c>
      <c r="D124" s="113">
        <v>40342</v>
      </c>
      <c r="E124" s="112">
        <v>2010</v>
      </c>
      <c r="F124" s="112" t="s">
        <v>2677</v>
      </c>
      <c r="G124" s="112" t="s">
        <v>2678</v>
      </c>
      <c r="H124" s="114" t="s">
        <v>2635</v>
      </c>
      <c r="I124" s="112">
        <f t="shared" si="16"/>
        <v>0</v>
      </c>
      <c r="J124" s="112">
        <f t="shared" si="17"/>
        <v>1</v>
      </c>
      <c r="K124" s="115" t="s">
        <v>2718</v>
      </c>
      <c r="L124" s="115" t="s">
        <v>2747</v>
      </c>
      <c r="M124" s="115" t="s">
        <v>2731</v>
      </c>
      <c r="N124" s="115">
        <v>30325</v>
      </c>
      <c r="O124" s="112">
        <v>1</v>
      </c>
      <c r="P124" s="116" t="s">
        <v>2601</v>
      </c>
      <c r="Q124" s="112" t="str">
        <f t="shared" si="18"/>
        <v/>
      </c>
      <c r="R124" s="112" t="str">
        <f t="shared" si="19"/>
        <v/>
      </c>
      <c r="S124" s="112" t="str">
        <f t="shared" si="22"/>
        <v/>
      </c>
      <c r="T124" s="112" t="str">
        <f t="shared" si="23"/>
        <v/>
      </c>
      <c r="U124" s="112" t="str">
        <f t="shared" si="24"/>
        <v/>
      </c>
      <c r="V124" s="112" t="str">
        <f t="shared" si="25"/>
        <v/>
      </c>
      <c r="W124" s="112" t="str">
        <f t="shared" si="26"/>
        <v/>
      </c>
      <c r="X124" s="112" t="str">
        <f t="shared" si="20"/>
        <v/>
      </c>
      <c r="Y124" s="112" t="str">
        <f t="shared" si="21"/>
        <v/>
      </c>
      <c r="Z124" s="112" t="str">
        <f t="shared" si="27"/>
        <v/>
      </c>
      <c r="AA124" s="112" t="str">
        <f t="shared" si="28"/>
        <v/>
      </c>
      <c r="AB124" s="112" t="str">
        <f t="shared" si="29"/>
        <v/>
      </c>
      <c r="AC124" s="112" t="str">
        <f t="shared" si="30"/>
        <v/>
      </c>
      <c r="AD124" s="112" t="str">
        <f t="shared" si="31"/>
        <v/>
      </c>
    </row>
    <row r="125" spans="1:30" x14ac:dyDescent="0.2">
      <c r="A125" s="112">
        <f>IF(SUM(Q125:R125)=1,1+MAX($A$1:A124),"")</f>
        <v>7</v>
      </c>
      <c r="B125" s="112" t="str">
        <f>IF(SUM(X125:Y125)=1,1+MAX($B$1:B124),"")</f>
        <v/>
      </c>
      <c r="C125" s="112" t="str">
        <f>IF(SUM(Q125:R125,X125:Y125)=2,1+MAX($C$1:C124),"")</f>
        <v/>
      </c>
      <c r="D125" s="113">
        <v>40341</v>
      </c>
      <c r="E125" s="112">
        <v>2010</v>
      </c>
      <c r="F125" s="112" t="s">
        <v>2677</v>
      </c>
      <c r="G125" s="112" t="s">
        <v>2678</v>
      </c>
      <c r="H125" s="114" t="s">
        <v>2545</v>
      </c>
      <c r="I125" s="112">
        <f t="shared" si="16"/>
        <v>1</v>
      </c>
      <c r="J125" s="112">
        <f t="shared" si="17"/>
        <v>1</v>
      </c>
      <c r="K125" s="115" t="s">
        <v>2614</v>
      </c>
      <c r="L125" s="115" t="s">
        <v>2744</v>
      </c>
      <c r="M125" s="115" t="s">
        <v>2751</v>
      </c>
      <c r="N125" s="115">
        <v>38646</v>
      </c>
      <c r="O125" s="112">
        <v>2</v>
      </c>
      <c r="P125" s="116" t="s">
        <v>2645</v>
      </c>
      <c r="Q125" s="112">
        <f t="shared" si="18"/>
        <v>1</v>
      </c>
      <c r="R125" s="112" t="str">
        <f t="shared" si="19"/>
        <v/>
      </c>
      <c r="S125" s="112">
        <f t="shared" si="22"/>
        <v>0</v>
      </c>
      <c r="T125" s="112">
        <f t="shared" si="23"/>
        <v>1</v>
      </c>
      <c r="U125" s="112">
        <f t="shared" si="24"/>
        <v>0</v>
      </c>
      <c r="V125" s="112">
        <f t="shared" si="25"/>
        <v>2</v>
      </c>
      <c r="W125" s="112">
        <f t="shared" si="26"/>
        <v>0</v>
      </c>
      <c r="X125" s="112" t="str">
        <f t="shared" si="20"/>
        <v/>
      </c>
      <c r="Y125" s="112" t="str">
        <f t="shared" si="21"/>
        <v/>
      </c>
      <c r="Z125" s="112" t="str">
        <f t="shared" si="27"/>
        <v/>
      </c>
      <c r="AA125" s="112" t="str">
        <f t="shared" si="28"/>
        <v/>
      </c>
      <c r="AB125" s="112" t="str">
        <f t="shared" si="29"/>
        <v/>
      </c>
      <c r="AC125" s="112" t="str">
        <f t="shared" si="30"/>
        <v/>
      </c>
      <c r="AD125" s="112" t="str">
        <f t="shared" si="31"/>
        <v/>
      </c>
    </row>
    <row r="126" spans="1:30" x14ac:dyDescent="0.2">
      <c r="A126" s="112" t="str">
        <f>IF(SUM(Q126:R126)=1,1+MAX($A$1:A125),"")</f>
        <v/>
      </c>
      <c r="B126" s="112">
        <f>IF(SUM(X126:Y126)=1,1+MAX($B$1:B125),"")</f>
        <v>12</v>
      </c>
      <c r="C126" s="112" t="str">
        <f>IF(SUM(Q126:R126,X126:Y126)=2,1+MAX($C$1:C125),"")</f>
        <v/>
      </c>
      <c r="D126" s="113">
        <v>40341</v>
      </c>
      <c r="E126" s="112">
        <v>2010</v>
      </c>
      <c r="F126" s="112" t="s">
        <v>2684</v>
      </c>
      <c r="G126" s="112" t="s">
        <v>2685</v>
      </c>
      <c r="H126" s="114" t="s">
        <v>1134</v>
      </c>
      <c r="I126" s="112">
        <f t="shared" si="16"/>
        <v>1</v>
      </c>
      <c r="J126" s="112">
        <f t="shared" si="17"/>
        <v>0</v>
      </c>
      <c r="K126" s="115" t="s">
        <v>2542</v>
      </c>
      <c r="L126" s="115" t="s">
        <v>2730</v>
      </c>
      <c r="M126" s="115" t="s">
        <v>2745</v>
      </c>
      <c r="N126" s="115">
        <v>55686</v>
      </c>
      <c r="O126" s="112">
        <v>1</v>
      </c>
      <c r="P126" s="116" t="s">
        <v>2622</v>
      </c>
      <c r="Q126" s="112" t="str">
        <f t="shared" si="18"/>
        <v/>
      </c>
      <c r="R126" s="112" t="str">
        <f t="shared" si="19"/>
        <v/>
      </c>
      <c r="S126" s="112" t="str">
        <f t="shared" si="22"/>
        <v/>
      </c>
      <c r="T126" s="112" t="str">
        <f t="shared" si="23"/>
        <v/>
      </c>
      <c r="U126" s="112" t="str">
        <f t="shared" si="24"/>
        <v/>
      </c>
      <c r="V126" s="112" t="str">
        <f t="shared" si="25"/>
        <v/>
      </c>
      <c r="W126" s="112" t="str">
        <f t="shared" si="26"/>
        <v/>
      </c>
      <c r="X126" s="112">
        <f t="shared" si="20"/>
        <v>1</v>
      </c>
      <c r="Y126" s="112" t="str">
        <f t="shared" si="21"/>
        <v/>
      </c>
      <c r="Z126" s="112">
        <f t="shared" si="27"/>
        <v>1</v>
      </c>
      <c r="AA126" s="112">
        <f t="shared" si="28"/>
        <v>0</v>
      </c>
      <c r="AB126" s="112">
        <f t="shared" si="29"/>
        <v>0</v>
      </c>
      <c r="AC126" s="112">
        <f t="shared" si="30"/>
        <v>1</v>
      </c>
      <c r="AD126" s="112">
        <f t="shared" si="31"/>
        <v>1</v>
      </c>
    </row>
    <row r="127" spans="1:30" x14ac:dyDescent="0.2">
      <c r="A127" s="112" t="str">
        <f>IF(SUM(Q127:R127)=1,1+MAX($A$1:A126),"")</f>
        <v/>
      </c>
      <c r="B127" s="112" t="str">
        <f>IF(SUM(X127:Y127)=1,1+MAX($B$1:B126),"")</f>
        <v/>
      </c>
      <c r="C127" s="112" t="str">
        <f>IF(SUM(Q127:R127,X127:Y127)=2,1+MAX($C$1:C126),"")</f>
        <v/>
      </c>
      <c r="D127" s="113">
        <v>40341</v>
      </c>
      <c r="E127" s="112">
        <v>2010</v>
      </c>
      <c r="F127" s="112" t="s">
        <v>2684</v>
      </c>
      <c r="G127" s="112" t="s">
        <v>2685</v>
      </c>
      <c r="H127" s="114" t="s">
        <v>2642</v>
      </c>
      <c r="I127" s="112">
        <f t="shared" si="16"/>
        <v>0</v>
      </c>
      <c r="J127" s="112">
        <f t="shared" si="17"/>
        <v>2</v>
      </c>
      <c r="K127" s="115" t="s">
        <v>2543</v>
      </c>
      <c r="L127" s="115" t="s">
        <v>2723</v>
      </c>
      <c r="M127" s="115" t="s">
        <v>2762</v>
      </c>
      <c r="N127" s="115">
        <v>31513</v>
      </c>
      <c r="O127" s="112">
        <v>1</v>
      </c>
      <c r="P127" s="116" t="s">
        <v>2687</v>
      </c>
      <c r="Q127" s="112" t="str">
        <f t="shared" si="18"/>
        <v/>
      </c>
      <c r="R127" s="112" t="str">
        <f t="shared" si="19"/>
        <v/>
      </c>
      <c r="S127" s="112" t="str">
        <f t="shared" si="22"/>
        <v/>
      </c>
      <c r="T127" s="112" t="str">
        <f t="shared" si="23"/>
        <v/>
      </c>
      <c r="U127" s="112" t="str">
        <f t="shared" si="24"/>
        <v/>
      </c>
      <c r="V127" s="112" t="str">
        <f t="shared" si="25"/>
        <v/>
      </c>
      <c r="W127" s="112" t="str">
        <f t="shared" si="26"/>
        <v/>
      </c>
      <c r="X127" s="112" t="str">
        <f t="shared" si="20"/>
        <v/>
      </c>
      <c r="Y127" s="112" t="str">
        <f t="shared" si="21"/>
        <v/>
      </c>
      <c r="Z127" s="112" t="str">
        <f t="shared" si="27"/>
        <v/>
      </c>
      <c r="AA127" s="112" t="str">
        <f t="shared" si="28"/>
        <v/>
      </c>
      <c r="AB127" s="112" t="str">
        <f t="shared" si="29"/>
        <v/>
      </c>
      <c r="AC127" s="112" t="str">
        <f t="shared" si="30"/>
        <v/>
      </c>
      <c r="AD127" s="112" t="str">
        <f t="shared" si="31"/>
        <v/>
      </c>
    </row>
    <row r="128" spans="1:30" x14ac:dyDescent="0.2">
      <c r="A128" s="112" t="str">
        <f>IF(SUM(Q128:R128)=1,1+MAX($A$1:A127),"")</f>
        <v/>
      </c>
      <c r="B128" s="112" t="str">
        <f>IF(SUM(X128:Y128)=1,1+MAX($B$1:B127),"")</f>
        <v/>
      </c>
      <c r="C128" s="112" t="str">
        <f>IF(SUM(Q128:R128,X128:Y128)=2,1+MAX($C$1:C127),"")</f>
        <v/>
      </c>
      <c r="D128" s="113">
        <v>40340</v>
      </c>
      <c r="E128" s="112">
        <v>2010</v>
      </c>
      <c r="F128" s="112" t="s">
        <v>2689</v>
      </c>
      <c r="G128" s="112" t="s">
        <v>2690</v>
      </c>
      <c r="H128" s="114" t="s">
        <v>2541</v>
      </c>
      <c r="I128" s="112">
        <f t="shared" si="16"/>
        <v>0</v>
      </c>
      <c r="J128" s="112">
        <f t="shared" si="17"/>
        <v>0</v>
      </c>
      <c r="K128" s="115" t="s">
        <v>2540</v>
      </c>
      <c r="L128" s="115" t="s">
        <v>2729</v>
      </c>
      <c r="M128" s="115" t="s">
        <v>2721</v>
      </c>
      <c r="N128" s="115">
        <v>64100</v>
      </c>
      <c r="O128" s="112">
        <v>2</v>
      </c>
      <c r="P128" s="116" t="s">
        <v>2613</v>
      </c>
      <c r="Q128" s="112" t="str">
        <f t="shared" si="18"/>
        <v/>
      </c>
      <c r="R128" s="112" t="str">
        <f t="shared" si="19"/>
        <v/>
      </c>
      <c r="S128" s="112" t="str">
        <f t="shared" si="22"/>
        <v/>
      </c>
      <c r="T128" s="112" t="str">
        <f t="shared" si="23"/>
        <v/>
      </c>
      <c r="U128" s="112" t="str">
        <f t="shared" si="24"/>
        <v/>
      </c>
      <c r="V128" s="112" t="str">
        <f t="shared" si="25"/>
        <v/>
      </c>
      <c r="W128" s="112" t="str">
        <f t="shared" si="26"/>
        <v/>
      </c>
      <c r="X128" s="112" t="str">
        <f t="shared" si="20"/>
        <v/>
      </c>
      <c r="Y128" s="112" t="str">
        <f t="shared" si="21"/>
        <v/>
      </c>
      <c r="Z128" s="112" t="str">
        <f t="shared" si="27"/>
        <v/>
      </c>
      <c r="AA128" s="112" t="str">
        <f t="shared" si="28"/>
        <v/>
      </c>
      <c r="AB128" s="112" t="str">
        <f t="shared" si="29"/>
        <v/>
      </c>
      <c r="AC128" s="112" t="str">
        <f t="shared" si="30"/>
        <v/>
      </c>
      <c r="AD128" s="112" t="str">
        <f t="shared" si="31"/>
        <v/>
      </c>
    </row>
    <row r="129" spans="1:30" x14ac:dyDescent="0.2">
      <c r="A129" s="112" t="str">
        <f>IF(SUM(Q129:R129)=1,1+MAX($A$1:A128),"")</f>
        <v/>
      </c>
      <c r="B129" s="112" t="str">
        <f>IF(SUM(X129:Y129)=1,1+MAX($B$1:B128),"")</f>
        <v/>
      </c>
      <c r="C129" s="112" t="str">
        <f>IF(SUM(Q129:R129,X129:Y129)=2,1+MAX($C$1:C128),"")</f>
        <v/>
      </c>
      <c r="D129" s="113">
        <v>40340</v>
      </c>
      <c r="E129" s="112">
        <v>2010</v>
      </c>
      <c r="F129" s="112" t="s">
        <v>2689</v>
      </c>
      <c r="G129" s="112" t="s">
        <v>2690</v>
      </c>
      <c r="H129" s="114" t="s">
        <v>1061</v>
      </c>
      <c r="I129" s="112">
        <f t="shared" si="16"/>
        <v>1</v>
      </c>
      <c r="J129" s="112">
        <f t="shared" si="17"/>
        <v>1</v>
      </c>
      <c r="K129" s="115" t="s">
        <v>2692</v>
      </c>
      <c r="L129" s="115" t="s">
        <v>2722</v>
      </c>
      <c r="M129" s="115" t="s">
        <v>2621</v>
      </c>
      <c r="N129" s="115">
        <v>84490</v>
      </c>
      <c r="O129" s="112">
        <v>1</v>
      </c>
      <c r="P129" s="116" t="s">
        <v>2645</v>
      </c>
      <c r="Q129" s="112" t="str">
        <f t="shared" si="18"/>
        <v/>
      </c>
      <c r="R129" s="112" t="str">
        <f t="shared" si="19"/>
        <v/>
      </c>
      <c r="S129" s="112" t="str">
        <f t="shared" si="22"/>
        <v/>
      </c>
      <c r="T129" s="112" t="str">
        <f t="shared" si="23"/>
        <v/>
      </c>
      <c r="U129" s="112" t="str">
        <f t="shared" si="24"/>
        <v/>
      </c>
      <c r="V129" s="112" t="str">
        <f t="shared" si="25"/>
        <v/>
      </c>
      <c r="W129" s="112" t="str">
        <f t="shared" si="26"/>
        <v/>
      </c>
      <c r="X129" s="112" t="str">
        <f t="shared" si="20"/>
        <v/>
      </c>
      <c r="Y129" s="112" t="str">
        <f t="shared" si="21"/>
        <v/>
      </c>
      <c r="Z129" s="112" t="str">
        <f t="shared" si="27"/>
        <v/>
      </c>
      <c r="AA129" s="112" t="str">
        <f t="shared" si="28"/>
        <v/>
      </c>
      <c r="AB129" s="112" t="str">
        <f t="shared" si="29"/>
        <v/>
      </c>
      <c r="AC129" s="112" t="str">
        <f t="shared" si="30"/>
        <v/>
      </c>
      <c r="AD129" s="112" t="str">
        <f t="shared" si="31"/>
        <v/>
      </c>
    </row>
    <row r="130" spans="1:30" x14ac:dyDescent="0.2">
      <c r="A130" s="112" t="str">
        <f>IF(SUM(Q130:R130)=1,1+MAX($A$1:A129),"")</f>
        <v/>
      </c>
      <c r="B130" s="112" t="str">
        <f>IF(SUM(X130:Y130)=1,1+MAX($B$1:B129),"")</f>
        <v/>
      </c>
      <c r="C130" s="112" t="str">
        <f>IF(SUM(Q130:R130,X130:Y130)=2,1+MAX($C$1:C129),"")</f>
        <v/>
      </c>
      <c r="D130" s="113">
        <v>38907</v>
      </c>
      <c r="E130" s="112">
        <v>2006</v>
      </c>
      <c r="F130" s="112" t="s">
        <v>2597</v>
      </c>
      <c r="H130" s="114" t="s">
        <v>2541</v>
      </c>
      <c r="I130" s="112">
        <f t="shared" ref="I130:I193" si="32">INT(LEFT(P130,FIND("-",P130)-1))</f>
        <v>1</v>
      </c>
      <c r="J130" s="112">
        <f t="shared" ref="J130:J193" si="33">INT(RIGHT(P130,LEN(P130)-FIND("-",P130)-1))</f>
        <v>1</v>
      </c>
      <c r="K130" s="115" t="s">
        <v>2674</v>
      </c>
      <c r="L130" s="115" t="s">
        <v>2763</v>
      </c>
      <c r="M130" s="115" t="s">
        <v>2764</v>
      </c>
      <c r="N130" s="115">
        <v>69000</v>
      </c>
      <c r="O130" s="112">
        <v>1</v>
      </c>
      <c r="P130" s="116" t="s">
        <v>2645</v>
      </c>
      <c r="Q130" s="112" t="str">
        <f t="shared" ref="Q130:Q193" si="34">IF(H130=team1,1,"")</f>
        <v/>
      </c>
      <c r="R130" s="112" t="str">
        <f t="shared" ref="R130:R193" si="35">IF(K130=team1,1,"")</f>
        <v/>
      </c>
      <c r="S130" s="112" t="str">
        <f t="shared" si="22"/>
        <v/>
      </c>
      <c r="T130" s="112" t="str">
        <f t="shared" si="23"/>
        <v/>
      </c>
      <c r="U130" s="112" t="str">
        <f t="shared" si="24"/>
        <v/>
      </c>
      <c r="V130" s="112" t="str">
        <f t="shared" si="25"/>
        <v/>
      </c>
      <c r="W130" s="112" t="str">
        <f t="shared" si="26"/>
        <v/>
      </c>
      <c r="X130" s="112" t="str">
        <f t="shared" ref="X130:X193" si="36">IF(H130=team2,1,"")</f>
        <v/>
      </c>
      <c r="Y130" s="112" t="str">
        <f t="shared" ref="Y130:Y193" si="37">IF(K130=team2,1,"")</f>
        <v/>
      </c>
      <c r="Z130" s="112" t="str">
        <f t="shared" si="27"/>
        <v/>
      </c>
      <c r="AA130" s="112" t="str">
        <f t="shared" si="28"/>
        <v/>
      </c>
      <c r="AB130" s="112" t="str">
        <f t="shared" si="29"/>
        <v/>
      </c>
      <c r="AC130" s="112" t="str">
        <f t="shared" si="30"/>
        <v/>
      </c>
      <c r="AD130" s="112" t="str">
        <f t="shared" si="31"/>
        <v/>
      </c>
    </row>
    <row r="131" spans="1:30" x14ac:dyDescent="0.2">
      <c r="A131" s="112" t="str">
        <f>IF(SUM(Q131:R131)=1,1+MAX($A$1:A130),"")</f>
        <v/>
      </c>
      <c r="B131" s="112" t="str">
        <f>IF(SUM(X131:Y131)=1,1+MAX($B$1:B130),"")</f>
        <v/>
      </c>
      <c r="C131" s="112" t="str">
        <f>IF(SUM(Q131:R131,X131:Y131)=2,1+MAX($C$1:C130),"")</f>
        <v/>
      </c>
      <c r="D131" s="113">
        <v>38906</v>
      </c>
      <c r="E131" s="112">
        <v>2006</v>
      </c>
      <c r="F131" s="112" t="s">
        <v>2602</v>
      </c>
      <c r="H131" s="114" t="s">
        <v>2547</v>
      </c>
      <c r="I131" s="112">
        <f t="shared" si="32"/>
        <v>3</v>
      </c>
      <c r="J131" s="112">
        <f t="shared" si="33"/>
        <v>1</v>
      </c>
      <c r="K131" s="115" t="s">
        <v>2556</v>
      </c>
      <c r="L131" s="115" t="s">
        <v>2765</v>
      </c>
      <c r="M131" s="115" t="s">
        <v>2766</v>
      </c>
      <c r="N131" s="115">
        <v>52000</v>
      </c>
      <c r="O131" s="112">
        <v>1</v>
      </c>
      <c r="P131" s="116" t="s">
        <v>2663</v>
      </c>
      <c r="Q131" s="112" t="str">
        <f t="shared" si="34"/>
        <v/>
      </c>
      <c r="R131" s="112" t="str">
        <f t="shared" si="35"/>
        <v/>
      </c>
      <c r="S131" s="112" t="str">
        <f t="shared" ref="S131:S194" si="38">IF(Q131=1,IF($I131&gt;$J131,1,0),IF(R131=1,IF($I131&lt;$J131,1,0),""))</f>
        <v/>
      </c>
      <c r="T131" s="112" t="str">
        <f t="shared" ref="T131:T194" si="39">IF(Q131=1,IF($I131=$J131,1,0),IF(R131=1,IF($I131=$J131,1,0),""))</f>
        <v/>
      </c>
      <c r="U131" s="112" t="str">
        <f t="shared" ref="U131:U194" si="40">IF(Q131=1,IF($I131&lt;$J131,1,0),IF(R131=1,IF($I131&gt;$J131,1,0),""))</f>
        <v/>
      </c>
      <c r="V131" s="112" t="str">
        <f t="shared" ref="V131:V194" si="41">IF(SUM(Q131:R131)=1,$I131+$J131,"")</f>
        <v/>
      </c>
      <c r="W131" s="112" t="str">
        <f t="shared" ref="W131:W194" si="42">IF(Q131=1,$I131-$J131,IF(R131=1,-($I131-$J131),""))</f>
        <v/>
      </c>
      <c r="X131" s="112" t="str">
        <f t="shared" si="36"/>
        <v/>
      </c>
      <c r="Y131" s="112" t="str">
        <f t="shared" si="37"/>
        <v/>
      </c>
      <c r="Z131" s="112" t="str">
        <f t="shared" ref="Z131:Z194" si="43">IF(X131=1,IF($I131&gt;$J131,1,0),IF(Y131=1,IF($I131&lt;$J131,1,0),""))</f>
        <v/>
      </c>
      <c r="AA131" s="112" t="str">
        <f t="shared" ref="AA131:AA194" si="44">IF(X131=1,IF($I131=$J131,1,0),IF(Y131=1,IF($I131=$J131,1,0),""))</f>
        <v/>
      </c>
      <c r="AB131" s="112" t="str">
        <f t="shared" ref="AB131:AB194" si="45">IF(X131=1,IF($I131&lt;$J131,1,0),IF(Y131=1,IF($I131&gt;$J131,1,0),""))</f>
        <v/>
      </c>
      <c r="AC131" s="112" t="str">
        <f t="shared" ref="AC131:AC194" si="46">IF(SUM(X131:Y131)=1,$I131+$J131,"")</f>
        <v/>
      </c>
      <c r="AD131" s="112" t="str">
        <f t="shared" ref="AD131:AD194" si="47">IF(X131=1,$I131-$J131,IF(Y131=1,-($I131-$J131),""))</f>
        <v/>
      </c>
    </row>
    <row r="132" spans="1:30" x14ac:dyDescent="0.2">
      <c r="A132" s="112" t="str">
        <f>IF(SUM(Q132:R132)=1,1+MAX($A$1:A131),"")</f>
        <v/>
      </c>
      <c r="B132" s="112" t="str">
        <f>IF(SUM(X132:Y132)=1,1+MAX($B$1:B131),"")</f>
        <v/>
      </c>
      <c r="C132" s="112" t="str">
        <f>IF(SUM(Q132:R132,X132:Y132)=2,1+MAX($C$1:C131),"")</f>
        <v/>
      </c>
      <c r="D132" s="113">
        <v>38903</v>
      </c>
      <c r="E132" s="112">
        <v>2006</v>
      </c>
      <c r="F132" s="112" t="s">
        <v>2609</v>
      </c>
      <c r="H132" s="114" t="s">
        <v>2541</v>
      </c>
      <c r="I132" s="112">
        <f t="shared" si="32"/>
        <v>1</v>
      </c>
      <c r="J132" s="112">
        <f t="shared" si="33"/>
        <v>0</v>
      </c>
      <c r="K132" s="115" t="s">
        <v>2556</v>
      </c>
      <c r="L132" s="115" t="s">
        <v>2767</v>
      </c>
      <c r="M132" s="115" t="s">
        <v>2742</v>
      </c>
      <c r="N132" s="115">
        <v>66000</v>
      </c>
      <c r="O132" s="112">
        <v>1</v>
      </c>
      <c r="P132" s="116" t="s">
        <v>2622</v>
      </c>
      <c r="Q132" s="112" t="str">
        <f t="shared" si="34"/>
        <v/>
      </c>
      <c r="R132" s="112" t="str">
        <f t="shared" si="35"/>
        <v/>
      </c>
      <c r="S132" s="112" t="str">
        <f t="shared" si="38"/>
        <v/>
      </c>
      <c r="T132" s="112" t="str">
        <f t="shared" si="39"/>
        <v/>
      </c>
      <c r="U132" s="112" t="str">
        <f t="shared" si="40"/>
        <v/>
      </c>
      <c r="V132" s="112" t="str">
        <f t="shared" si="41"/>
        <v/>
      </c>
      <c r="W132" s="112" t="str">
        <f t="shared" si="42"/>
        <v/>
      </c>
      <c r="X132" s="112" t="str">
        <f t="shared" si="36"/>
        <v/>
      </c>
      <c r="Y132" s="112" t="str">
        <f t="shared" si="37"/>
        <v/>
      </c>
      <c r="Z132" s="112" t="str">
        <f t="shared" si="43"/>
        <v/>
      </c>
      <c r="AA132" s="112" t="str">
        <f t="shared" si="44"/>
        <v/>
      </c>
      <c r="AB132" s="112" t="str">
        <f t="shared" si="45"/>
        <v/>
      </c>
      <c r="AC132" s="112" t="str">
        <f t="shared" si="46"/>
        <v/>
      </c>
      <c r="AD132" s="112" t="str">
        <f t="shared" si="47"/>
        <v/>
      </c>
    </row>
    <row r="133" spans="1:30" x14ac:dyDescent="0.2">
      <c r="A133" s="112" t="str">
        <f>IF(SUM(Q133:R133)=1,1+MAX($A$1:A132),"")</f>
        <v/>
      </c>
      <c r="B133" s="112" t="str">
        <f>IF(SUM(X133:Y133)=1,1+MAX($B$1:B132),"")</f>
        <v/>
      </c>
      <c r="C133" s="112" t="str">
        <f>IF(SUM(Q133:R133,X133:Y133)=2,1+MAX($C$1:C132),"")</f>
        <v/>
      </c>
      <c r="D133" s="113">
        <v>38902</v>
      </c>
      <c r="E133" s="112">
        <v>2006</v>
      </c>
      <c r="F133" s="112" t="s">
        <v>2609</v>
      </c>
      <c r="H133" s="114" t="s">
        <v>2547</v>
      </c>
      <c r="I133" s="112">
        <f t="shared" si="32"/>
        <v>0</v>
      </c>
      <c r="J133" s="112">
        <f t="shared" si="33"/>
        <v>2</v>
      </c>
      <c r="K133" s="115" t="s">
        <v>2674</v>
      </c>
      <c r="L133" s="115" t="s">
        <v>2768</v>
      </c>
      <c r="M133" s="115" t="s">
        <v>2724</v>
      </c>
      <c r="N133" s="115">
        <v>65000</v>
      </c>
      <c r="O133" s="112">
        <v>1</v>
      </c>
      <c r="P133" s="116" t="s">
        <v>2687</v>
      </c>
      <c r="Q133" s="112" t="str">
        <f t="shared" si="34"/>
        <v/>
      </c>
      <c r="R133" s="112" t="str">
        <f t="shared" si="35"/>
        <v/>
      </c>
      <c r="S133" s="112" t="str">
        <f t="shared" si="38"/>
        <v/>
      </c>
      <c r="T133" s="112" t="str">
        <f t="shared" si="39"/>
        <v/>
      </c>
      <c r="U133" s="112" t="str">
        <f t="shared" si="40"/>
        <v/>
      </c>
      <c r="V133" s="112" t="str">
        <f t="shared" si="41"/>
        <v/>
      </c>
      <c r="W133" s="112" t="str">
        <f t="shared" si="42"/>
        <v/>
      </c>
      <c r="X133" s="112" t="str">
        <f t="shared" si="36"/>
        <v/>
      </c>
      <c r="Y133" s="112" t="str">
        <f t="shared" si="37"/>
        <v/>
      </c>
      <c r="Z133" s="112" t="str">
        <f t="shared" si="43"/>
        <v/>
      </c>
      <c r="AA133" s="112" t="str">
        <f t="shared" si="44"/>
        <v/>
      </c>
      <c r="AB133" s="112" t="str">
        <f t="shared" si="45"/>
        <v/>
      </c>
      <c r="AC133" s="112" t="str">
        <f t="shared" si="46"/>
        <v/>
      </c>
      <c r="AD133" s="112" t="str">
        <f t="shared" si="47"/>
        <v/>
      </c>
    </row>
    <row r="134" spans="1:30" x14ac:dyDescent="0.2">
      <c r="A134" s="112" t="str">
        <f>IF(SUM(Q134:R134)=1,1+MAX($A$1:A133),"")</f>
        <v/>
      </c>
      <c r="B134" s="112" t="str">
        <f>IF(SUM(X134:Y134)=1,1+MAX($B$1:B133),"")</f>
        <v/>
      </c>
      <c r="C134" s="112" t="str">
        <f>IF(SUM(Q134:R134,X134:Y134)=2,1+MAX($C$1:C133),"")</f>
        <v/>
      </c>
      <c r="D134" s="113">
        <v>38899</v>
      </c>
      <c r="E134" s="112">
        <v>2006</v>
      </c>
      <c r="F134" s="112" t="s">
        <v>2618</v>
      </c>
      <c r="H134" s="114" t="s">
        <v>1442</v>
      </c>
      <c r="I134" s="112">
        <f t="shared" si="32"/>
        <v>0</v>
      </c>
      <c r="J134" s="112">
        <f t="shared" si="33"/>
        <v>1</v>
      </c>
      <c r="K134" s="115" t="s">
        <v>2541</v>
      </c>
      <c r="L134" s="115" t="s">
        <v>2769</v>
      </c>
      <c r="M134" s="115" t="s">
        <v>2770</v>
      </c>
      <c r="N134" s="115">
        <v>48000</v>
      </c>
      <c r="O134" s="112">
        <v>1</v>
      </c>
      <c r="P134" s="116" t="s">
        <v>2601</v>
      </c>
      <c r="Q134" s="112" t="str">
        <f t="shared" si="34"/>
        <v/>
      </c>
      <c r="R134" s="112" t="str">
        <f t="shared" si="35"/>
        <v/>
      </c>
      <c r="S134" s="112" t="str">
        <f t="shared" si="38"/>
        <v/>
      </c>
      <c r="T134" s="112" t="str">
        <f t="shared" si="39"/>
        <v/>
      </c>
      <c r="U134" s="112" t="str">
        <f t="shared" si="40"/>
        <v/>
      </c>
      <c r="V134" s="112" t="str">
        <f t="shared" si="41"/>
        <v/>
      </c>
      <c r="W134" s="112" t="str">
        <f t="shared" si="42"/>
        <v/>
      </c>
      <c r="X134" s="112" t="str">
        <f t="shared" si="36"/>
        <v/>
      </c>
      <c r="Y134" s="112" t="str">
        <f t="shared" si="37"/>
        <v/>
      </c>
      <c r="Z134" s="112" t="str">
        <f t="shared" si="43"/>
        <v/>
      </c>
      <c r="AA134" s="112" t="str">
        <f t="shared" si="44"/>
        <v/>
      </c>
      <c r="AB134" s="112" t="str">
        <f t="shared" si="45"/>
        <v/>
      </c>
      <c r="AC134" s="112" t="str">
        <f t="shared" si="46"/>
        <v/>
      </c>
      <c r="AD134" s="112" t="str">
        <f t="shared" si="47"/>
        <v/>
      </c>
    </row>
    <row r="135" spans="1:30" x14ac:dyDescent="0.2">
      <c r="A135" s="112">
        <f>IF(SUM(Q135:R135)=1,1+MAX($A$1:A134),"")</f>
        <v>8</v>
      </c>
      <c r="B135" s="112" t="str">
        <f>IF(SUM(X135:Y135)=1,1+MAX($B$1:B134),"")</f>
        <v/>
      </c>
      <c r="C135" s="112" t="str">
        <f>IF(SUM(Q135:R135,X135:Y135)=2,1+MAX($C$1:C134),"")</f>
        <v/>
      </c>
      <c r="D135" s="113">
        <v>38899</v>
      </c>
      <c r="E135" s="112">
        <v>2006</v>
      </c>
      <c r="F135" s="112" t="s">
        <v>2618</v>
      </c>
      <c r="H135" s="114" t="s">
        <v>2545</v>
      </c>
      <c r="I135" s="112">
        <f t="shared" si="32"/>
        <v>0</v>
      </c>
      <c r="J135" s="112">
        <f t="shared" si="33"/>
        <v>0</v>
      </c>
      <c r="K135" s="115" t="s">
        <v>2556</v>
      </c>
      <c r="L135" s="115" t="s">
        <v>2771</v>
      </c>
      <c r="M135" s="115" t="s">
        <v>2772</v>
      </c>
      <c r="N135" s="115">
        <v>52000</v>
      </c>
      <c r="O135" s="112">
        <v>1</v>
      </c>
      <c r="P135" s="116" t="s">
        <v>2613</v>
      </c>
      <c r="Q135" s="112">
        <f t="shared" si="34"/>
        <v>1</v>
      </c>
      <c r="R135" s="112" t="str">
        <f t="shared" si="35"/>
        <v/>
      </c>
      <c r="S135" s="112">
        <f t="shared" si="38"/>
        <v>0</v>
      </c>
      <c r="T135" s="112">
        <f t="shared" si="39"/>
        <v>1</v>
      </c>
      <c r="U135" s="112">
        <f t="shared" si="40"/>
        <v>0</v>
      </c>
      <c r="V135" s="112">
        <f t="shared" si="41"/>
        <v>0</v>
      </c>
      <c r="W135" s="112">
        <f t="shared" si="42"/>
        <v>0</v>
      </c>
      <c r="X135" s="112" t="str">
        <f t="shared" si="36"/>
        <v/>
      </c>
      <c r="Y135" s="112" t="str">
        <f t="shared" si="37"/>
        <v/>
      </c>
      <c r="Z135" s="112" t="str">
        <f t="shared" si="43"/>
        <v/>
      </c>
      <c r="AA135" s="112" t="str">
        <f t="shared" si="44"/>
        <v/>
      </c>
      <c r="AB135" s="112" t="str">
        <f t="shared" si="45"/>
        <v/>
      </c>
      <c r="AC135" s="112" t="str">
        <f t="shared" si="46"/>
        <v/>
      </c>
      <c r="AD135" s="112" t="str">
        <f t="shared" si="47"/>
        <v/>
      </c>
    </row>
    <row r="136" spans="1:30" x14ac:dyDescent="0.2">
      <c r="A136" s="112" t="str">
        <f>IF(SUM(Q136:R136)=1,1+MAX($A$1:A135),"")</f>
        <v/>
      </c>
      <c r="B136" s="112" t="str">
        <f>IF(SUM(X136:Y136)=1,1+MAX($B$1:B135),"")</f>
        <v/>
      </c>
      <c r="C136" s="112" t="str">
        <f>IF(SUM(Q136:R136,X136:Y136)=2,1+MAX($C$1:C135),"")</f>
        <v/>
      </c>
      <c r="D136" s="113">
        <v>38898</v>
      </c>
      <c r="E136" s="112">
        <v>2006</v>
      </c>
      <c r="F136" s="112" t="s">
        <v>2618</v>
      </c>
      <c r="H136" s="114" t="s">
        <v>2674</v>
      </c>
      <c r="I136" s="112">
        <f t="shared" si="32"/>
        <v>3</v>
      </c>
      <c r="J136" s="112">
        <f t="shared" si="33"/>
        <v>0</v>
      </c>
      <c r="K136" s="115" t="s">
        <v>2773</v>
      </c>
      <c r="L136" s="115" t="s">
        <v>2774</v>
      </c>
      <c r="M136" s="115" t="s">
        <v>2737</v>
      </c>
      <c r="N136" s="115">
        <v>50000</v>
      </c>
      <c r="O136" s="112">
        <v>1</v>
      </c>
      <c r="P136" s="116" t="s">
        <v>2713</v>
      </c>
      <c r="Q136" s="112" t="str">
        <f t="shared" si="34"/>
        <v/>
      </c>
      <c r="R136" s="112" t="str">
        <f t="shared" si="35"/>
        <v/>
      </c>
      <c r="S136" s="112" t="str">
        <f t="shared" si="38"/>
        <v/>
      </c>
      <c r="T136" s="112" t="str">
        <f t="shared" si="39"/>
        <v/>
      </c>
      <c r="U136" s="112" t="str">
        <f t="shared" si="40"/>
        <v/>
      </c>
      <c r="V136" s="112" t="str">
        <f t="shared" si="41"/>
        <v/>
      </c>
      <c r="W136" s="112" t="str">
        <f t="shared" si="42"/>
        <v/>
      </c>
      <c r="X136" s="112" t="str">
        <f t="shared" si="36"/>
        <v/>
      </c>
      <c r="Y136" s="112" t="str">
        <f t="shared" si="37"/>
        <v/>
      </c>
      <c r="Z136" s="112" t="str">
        <f t="shared" si="43"/>
        <v/>
      </c>
      <c r="AA136" s="112" t="str">
        <f t="shared" si="44"/>
        <v/>
      </c>
      <c r="AB136" s="112" t="str">
        <f t="shared" si="45"/>
        <v/>
      </c>
      <c r="AC136" s="112" t="str">
        <f t="shared" si="46"/>
        <v/>
      </c>
      <c r="AD136" s="112" t="str">
        <f t="shared" si="47"/>
        <v/>
      </c>
    </row>
    <row r="137" spans="1:30" x14ac:dyDescent="0.2">
      <c r="A137" s="112" t="str">
        <f>IF(SUM(Q137:R137)=1,1+MAX($A$1:A136),"")</f>
        <v/>
      </c>
      <c r="B137" s="112">
        <f>IF(SUM(X137:Y137)=1,1+MAX($B$1:B136),"")</f>
        <v>13</v>
      </c>
      <c r="C137" s="112" t="str">
        <f>IF(SUM(Q137:R137,X137:Y137)=2,1+MAX($C$1:C136),"")</f>
        <v/>
      </c>
      <c r="D137" s="113">
        <v>38898</v>
      </c>
      <c r="E137" s="112">
        <v>2006</v>
      </c>
      <c r="F137" s="112" t="s">
        <v>2618</v>
      </c>
      <c r="H137" s="114" t="s">
        <v>1134</v>
      </c>
      <c r="I137" s="112">
        <f t="shared" si="32"/>
        <v>1</v>
      </c>
      <c r="J137" s="112">
        <f t="shared" si="33"/>
        <v>1</v>
      </c>
      <c r="K137" s="115" t="s">
        <v>2547</v>
      </c>
      <c r="L137" s="115" t="s">
        <v>2763</v>
      </c>
      <c r="M137" s="115" t="s">
        <v>2775</v>
      </c>
      <c r="N137" s="115">
        <v>72000</v>
      </c>
      <c r="O137" s="112">
        <v>1</v>
      </c>
      <c r="P137" s="116" t="s">
        <v>2645</v>
      </c>
      <c r="Q137" s="112" t="str">
        <f t="shared" si="34"/>
        <v/>
      </c>
      <c r="R137" s="112" t="str">
        <f t="shared" si="35"/>
        <v/>
      </c>
      <c r="S137" s="112" t="str">
        <f t="shared" si="38"/>
        <v/>
      </c>
      <c r="T137" s="112" t="str">
        <f t="shared" si="39"/>
        <v/>
      </c>
      <c r="U137" s="112" t="str">
        <f t="shared" si="40"/>
        <v/>
      </c>
      <c r="V137" s="112" t="str">
        <f t="shared" si="41"/>
        <v/>
      </c>
      <c r="W137" s="112" t="str">
        <f t="shared" si="42"/>
        <v/>
      </c>
      <c r="X137" s="112">
        <f t="shared" si="36"/>
        <v>1</v>
      </c>
      <c r="Y137" s="112" t="str">
        <f t="shared" si="37"/>
        <v/>
      </c>
      <c r="Z137" s="112">
        <f t="shared" si="43"/>
        <v>0</v>
      </c>
      <c r="AA137" s="112">
        <f t="shared" si="44"/>
        <v>1</v>
      </c>
      <c r="AB137" s="112">
        <f t="shared" si="45"/>
        <v>0</v>
      </c>
      <c r="AC137" s="112">
        <f t="shared" si="46"/>
        <v>2</v>
      </c>
      <c r="AD137" s="112">
        <f t="shared" si="47"/>
        <v>0</v>
      </c>
    </row>
    <row r="138" spans="1:30" x14ac:dyDescent="0.2">
      <c r="A138" s="112" t="str">
        <f>IF(SUM(Q138:R138)=1,1+MAX($A$1:A137),"")</f>
        <v/>
      </c>
      <c r="B138" s="112" t="str">
        <f>IF(SUM(X138:Y138)=1,1+MAX($B$1:B137),"")</f>
        <v/>
      </c>
      <c r="C138" s="112" t="str">
        <f>IF(SUM(Q138:R138,X138:Y138)=2,1+MAX($C$1:C137),"")</f>
        <v/>
      </c>
      <c r="D138" s="113">
        <v>38895</v>
      </c>
      <c r="E138" s="112">
        <v>2006</v>
      </c>
      <c r="F138" s="112" t="s">
        <v>2629</v>
      </c>
      <c r="H138" s="114" t="s">
        <v>2541</v>
      </c>
      <c r="I138" s="112">
        <f t="shared" si="32"/>
        <v>3</v>
      </c>
      <c r="J138" s="112">
        <f t="shared" si="33"/>
        <v>1</v>
      </c>
      <c r="K138" s="115" t="s">
        <v>2557</v>
      </c>
      <c r="L138" s="115" t="s">
        <v>2776</v>
      </c>
      <c r="M138" s="115" t="s">
        <v>2740</v>
      </c>
      <c r="N138" s="115">
        <v>43000</v>
      </c>
      <c r="O138" s="112">
        <v>1</v>
      </c>
      <c r="P138" s="116" t="s">
        <v>2663</v>
      </c>
      <c r="Q138" s="112" t="str">
        <f t="shared" si="34"/>
        <v/>
      </c>
      <c r="R138" s="112" t="str">
        <f t="shared" si="35"/>
        <v/>
      </c>
      <c r="S138" s="112" t="str">
        <f t="shared" si="38"/>
        <v/>
      </c>
      <c r="T138" s="112" t="str">
        <f t="shared" si="39"/>
        <v/>
      </c>
      <c r="U138" s="112" t="str">
        <f t="shared" si="40"/>
        <v/>
      </c>
      <c r="V138" s="112" t="str">
        <f t="shared" si="41"/>
        <v/>
      </c>
      <c r="W138" s="112" t="str">
        <f t="shared" si="42"/>
        <v/>
      </c>
      <c r="X138" s="112" t="str">
        <f t="shared" si="36"/>
        <v/>
      </c>
      <c r="Y138" s="112" t="str">
        <f t="shared" si="37"/>
        <v/>
      </c>
      <c r="Z138" s="112" t="str">
        <f t="shared" si="43"/>
        <v/>
      </c>
      <c r="AA138" s="112" t="str">
        <f t="shared" si="44"/>
        <v/>
      </c>
      <c r="AB138" s="112" t="str">
        <f t="shared" si="45"/>
        <v/>
      </c>
      <c r="AC138" s="112" t="str">
        <f t="shared" si="46"/>
        <v/>
      </c>
      <c r="AD138" s="112" t="str">
        <f t="shared" si="47"/>
        <v/>
      </c>
    </row>
    <row r="139" spans="1:30" x14ac:dyDescent="0.2">
      <c r="A139" s="112" t="str">
        <f>IF(SUM(Q139:R139)=1,1+MAX($A$1:A138),"")</f>
        <v/>
      </c>
      <c r="B139" s="112" t="str">
        <f>IF(SUM(X139:Y139)=1,1+MAX($B$1:B138),"")</f>
        <v/>
      </c>
      <c r="C139" s="112" t="str">
        <f>IF(SUM(Q139:R139,X139:Y139)=2,1+MAX($C$1:C138),"")</f>
        <v/>
      </c>
      <c r="D139" s="113">
        <v>38895</v>
      </c>
      <c r="E139" s="112">
        <v>2006</v>
      </c>
      <c r="F139" s="112" t="s">
        <v>2629</v>
      </c>
      <c r="H139" s="114" t="s">
        <v>1442</v>
      </c>
      <c r="I139" s="112">
        <f t="shared" si="32"/>
        <v>3</v>
      </c>
      <c r="J139" s="112">
        <f t="shared" si="33"/>
        <v>0</v>
      </c>
      <c r="K139" s="115" t="s">
        <v>2658</v>
      </c>
      <c r="L139" s="115" t="s">
        <v>2768</v>
      </c>
      <c r="M139" s="115" t="s">
        <v>2775</v>
      </c>
      <c r="N139" s="115">
        <v>65000</v>
      </c>
      <c r="O139" s="112">
        <v>1</v>
      </c>
      <c r="P139" s="116" t="s">
        <v>2713</v>
      </c>
      <c r="Q139" s="112" t="str">
        <f t="shared" si="34"/>
        <v/>
      </c>
      <c r="R139" s="112" t="str">
        <f t="shared" si="35"/>
        <v/>
      </c>
      <c r="S139" s="112" t="str">
        <f t="shared" si="38"/>
        <v/>
      </c>
      <c r="T139" s="112" t="str">
        <f t="shared" si="39"/>
        <v/>
      </c>
      <c r="U139" s="112" t="str">
        <f t="shared" si="40"/>
        <v/>
      </c>
      <c r="V139" s="112" t="str">
        <f t="shared" si="41"/>
        <v/>
      </c>
      <c r="W139" s="112" t="str">
        <f t="shared" si="42"/>
        <v/>
      </c>
      <c r="X139" s="112" t="str">
        <f t="shared" si="36"/>
        <v/>
      </c>
      <c r="Y139" s="112" t="str">
        <f t="shared" si="37"/>
        <v/>
      </c>
      <c r="Z139" s="112" t="str">
        <f t="shared" si="43"/>
        <v/>
      </c>
      <c r="AA139" s="112" t="str">
        <f t="shared" si="44"/>
        <v/>
      </c>
      <c r="AB139" s="112" t="str">
        <f t="shared" si="45"/>
        <v/>
      </c>
      <c r="AC139" s="112" t="str">
        <f t="shared" si="46"/>
        <v/>
      </c>
      <c r="AD139" s="112" t="str">
        <f t="shared" si="47"/>
        <v/>
      </c>
    </row>
    <row r="140" spans="1:30" x14ac:dyDescent="0.2">
      <c r="A140" s="112" t="str">
        <f>IF(SUM(Q140:R140)=1,1+MAX($A$1:A139),"")</f>
        <v/>
      </c>
      <c r="B140" s="112" t="str">
        <f>IF(SUM(X140:Y140)=1,1+MAX($B$1:B139),"")</f>
        <v/>
      </c>
      <c r="C140" s="112" t="str">
        <f>IF(SUM(Q140:R140,X140:Y140)=2,1+MAX($C$1:C139),"")</f>
        <v/>
      </c>
      <c r="D140" s="113">
        <v>38894</v>
      </c>
      <c r="E140" s="112">
        <v>2006</v>
      </c>
      <c r="F140" s="112" t="s">
        <v>2629</v>
      </c>
      <c r="H140" s="114" t="s">
        <v>2558</v>
      </c>
      <c r="I140" s="112">
        <f t="shared" si="32"/>
        <v>0</v>
      </c>
      <c r="J140" s="112">
        <f t="shared" si="33"/>
        <v>0</v>
      </c>
      <c r="K140" s="115" t="s">
        <v>2773</v>
      </c>
      <c r="L140" s="115" t="s">
        <v>2777</v>
      </c>
      <c r="M140" s="115" t="s">
        <v>2724</v>
      </c>
      <c r="N140" s="115">
        <v>45000</v>
      </c>
      <c r="O140" s="112">
        <v>1</v>
      </c>
      <c r="P140" s="116" t="s">
        <v>2613</v>
      </c>
      <c r="Q140" s="112" t="str">
        <f t="shared" si="34"/>
        <v/>
      </c>
      <c r="R140" s="112" t="str">
        <f t="shared" si="35"/>
        <v/>
      </c>
      <c r="S140" s="112" t="str">
        <f t="shared" si="38"/>
        <v/>
      </c>
      <c r="T140" s="112" t="str">
        <f t="shared" si="39"/>
        <v/>
      </c>
      <c r="U140" s="112" t="str">
        <f t="shared" si="40"/>
        <v/>
      </c>
      <c r="V140" s="112" t="str">
        <f t="shared" si="41"/>
        <v/>
      </c>
      <c r="W140" s="112" t="str">
        <f t="shared" si="42"/>
        <v/>
      </c>
      <c r="X140" s="112" t="str">
        <f t="shared" si="36"/>
        <v/>
      </c>
      <c r="Y140" s="112" t="str">
        <f t="shared" si="37"/>
        <v/>
      </c>
      <c r="Z140" s="112" t="str">
        <f t="shared" si="43"/>
        <v/>
      </c>
      <c r="AA140" s="112" t="str">
        <f t="shared" si="44"/>
        <v/>
      </c>
      <c r="AB140" s="112" t="str">
        <f t="shared" si="45"/>
        <v/>
      </c>
      <c r="AC140" s="112" t="str">
        <f t="shared" si="46"/>
        <v/>
      </c>
      <c r="AD140" s="112" t="str">
        <f t="shared" si="47"/>
        <v/>
      </c>
    </row>
    <row r="141" spans="1:30" x14ac:dyDescent="0.2">
      <c r="A141" s="112" t="str">
        <f>IF(SUM(Q141:R141)=1,1+MAX($A$1:A140),"")</f>
        <v/>
      </c>
      <c r="B141" s="112" t="str">
        <f>IF(SUM(X141:Y141)=1,1+MAX($B$1:B140),"")</f>
        <v/>
      </c>
      <c r="C141" s="112" t="str">
        <f>IF(SUM(Q141:R141,X141:Y141)=2,1+MAX($C$1:C140),"")</f>
        <v/>
      </c>
      <c r="D141" s="113">
        <v>38894</v>
      </c>
      <c r="E141" s="112">
        <v>2006</v>
      </c>
      <c r="F141" s="112" t="s">
        <v>2629</v>
      </c>
      <c r="H141" s="114" t="s">
        <v>1317</v>
      </c>
      <c r="I141" s="112">
        <f t="shared" si="32"/>
        <v>0</v>
      </c>
      <c r="J141" s="112">
        <f t="shared" si="33"/>
        <v>1</v>
      </c>
      <c r="K141" s="115" t="s">
        <v>2674</v>
      </c>
      <c r="L141" s="115" t="s">
        <v>2778</v>
      </c>
      <c r="M141" s="115" t="s">
        <v>2770</v>
      </c>
      <c r="N141" s="115">
        <v>46000</v>
      </c>
      <c r="O141" s="112">
        <v>1</v>
      </c>
      <c r="P141" s="116" t="s">
        <v>2601</v>
      </c>
      <c r="Q141" s="112" t="str">
        <f t="shared" si="34"/>
        <v/>
      </c>
      <c r="R141" s="112" t="str">
        <f t="shared" si="35"/>
        <v/>
      </c>
      <c r="S141" s="112" t="str">
        <f t="shared" si="38"/>
        <v/>
      </c>
      <c r="T141" s="112" t="str">
        <f t="shared" si="39"/>
        <v/>
      </c>
      <c r="U141" s="112" t="str">
        <f t="shared" si="40"/>
        <v/>
      </c>
      <c r="V141" s="112" t="str">
        <f t="shared" si="41"/>
        <v/>
      </c>
      <c r="W141" s="112" t="str">
        <f t="shared" si="42"/>
        <v/>
      </c>
      <c r="X141" s="112" t="str">
        <f t="shared" si="36"/>
        <v/>
      </c>
      <c r="Y141" s="112" t="str">
        <f t="shared" si="37"/>
        <v/>
      </c>
      <c r="Z141" s="112" t="str">
        <f t="shared" si="43"/>
        <v/>
      </c>
      <c r="AA141" s="112" t="str">
        <f t="shared" si="44"/>
        <v/>
      </c>
      <c r="AB141" s="112" t="str">
        <f t="shared" si="45"/>
        <v/>
      </c>
      <c r="AC141" s="112" t="str">
        <f t="shared" si="46"/>
        <v/>
      </c>
      <c r="AD141" s="112" t="str">
        <f t="shared" si="47"/>
        <v/>
      </c>
    </row>
    <row r="142" spans="1:30" x14ac:dyDescent="0.2">
      <c r="A142" s="112" t="str">
        <f>IF(SUM(Q142:R142)=1,1+MAX($A$1:A141),"")</f>
        <v/>
      </c>
      <c r="B142" s="112" t="str">
        <f>IF(SUM(X142:Y142)=1,1+MAX($B$1:B141),"")</f>
        <v/>
      </c>
      <c r="C142" s="112" t="str">
        <f>IF(SUM(Q142:R142,X142:Y142)=2,1+MAX($C$1:C141),"")</f>
        <v/>
      </c>
      <c r="D142" s="113">
        <v>38893</v>
      </c>
      <c r="E142" s="112">
        <v>2006</v>
      </c>
      <c r="F142" s="112" t="s">
        <v>2629</v>
      </c>
      <c r="H142" s="114" t="s">
        <v>2604</v>
      </c>
      <c r="I142" s="112">
        <f t="shared" si="32"/>
        <v>0</v>
      </c>
      <c r="J142" s="112">
        <f t="shared" si="33"/>
        <v>1</v>
      </c>
      <c r="K142" s="115" t="s">
        <v>2556</v>
      </c>
      <c r="L142" s="115" t="s">
        <v>2779</v>
      </c>
      <c r="M142" s="115" t="s">
        <v>2780</v>
      </c>
      <c r="N142" s="115">
        <v>41000</v>
      </c>
      <c r="O142" s="112">
        <v>1</v>
      </c>
      <c r="P142" s="116" t="s">
        <v>2601</v>
      </c>
      <c r="Q142" s="112" t="str">
        <f t="shared" si="34"/>
        <v/>
      </c>
      <c r="R142" s="112" t="str">
        <f t="shared" si="35"/>
        <v/>
      </c>
      <c r="S142" s="112" t="str">
        <f t="shared" si="38"/>
        <v/>
      </c>
      <c r="T142" s="112" t="str">
        <f t="shared" si="39"/>
        <v/>
      </c>
      <c r="U142" s="112" t="str">
        <f t="shared" si="40"/>
        <v/>
      </c>
      <c r="V142" s="112" t="str">
        <f t="shared" si="41"/>
        <v/>
      </c>
      <c r="W142" s="112" t="str">
        <f t="shared" si="42"/>
        <v/>
      </c>
      <c r="X142" s="112" t="str">
        <f t="shared" si="36"/>
        <v/>
      </c>
      <c r="Y142" s="112" t="str">
        <f t="shared" si="37"/>
        <v/>
      </c>
      <c r="Z142" s="112" t="str">
        <f t="shared" si="43"/>
        <v/>
      </c>
      <c r="AA142" s="112" t="str">
        <f t="shared" si="44"/>
        <v/>
      </c>
      <c r="AB142" s="112" t="str">
        <f t="shared" si="45"/>
        <v/>
      </c>
      <c r="AC142" s="112" t="str">
        <f t="shared" si="46"/>
        <v/>
      </c>
      <c r="AD142" s="112" t="str">
        <f t="shared" si="47"/>
        <v/>
      </c>
    </row>
    <row r="143" spans="1:30" x14ac:dyDescent="0.2">
      <c r="A143" s="112">
        <f>IF(SUM(Q143:R143)=1,1+MAX($A$1:A142),"")</f>
        <v>9</v>
      </c>
      <c r="B143" s="112" t="str">
        <f>IF(SUM(X143:Y143)=1,1+MAX($B$1:B142),"")</f>
        <v/>
      </c>
      <c r="C143" s="112" t="str">
        <f>IF(SUM(Q143:R143,X143:Y143)=2,1+MAX($C$1:C142),"")</f>
        <v/>
      </c>
      <c r="D143" s="113">
        <v>38893</v>
      </c>
      <c r="E143" s="112">
        <v>2006</v>
      </c>
      <c r="F143" s="112" t="s">
        <v>2629</v>
      </c>
      <c r="H143" s="114" t="s">
        <v>2655</v>
      </c>
      <c r="I143" s="112">
        <f t="shared" si="32"/>
        <v>0</v>
      </c>
      <c r="J143" s="112">
        <f t="shared" si="33"/>
        <v>1</v>
      </c>
      <c r="K143" s="115" t="s">
        <v>2545</v>
      </c>
      <c r="L143" s="115" t="s">
        <v>2765</v>
      </c>
      <c r="M143" s="115" t="s">
        <v>2737</v>
      </c>
      <c r="N143" s="115">
        <v>52000</v>
      </c>
      <c r="O143" s="112">
        <v>1</v>
      </c>
      <c r="P143" s="116" t="s">
        <v>2601</v>
      </c>
      <c r="Q143" s="112" t="str">
        <f t="shared" si="34"/>
        <v/>
      </c>
      <c r="R143" s="112">
        <f t="shared" si="35"/>
        <v>1</v>
      </c>
      <c r="S143" s="112">
        <f t="shared" si="38"/>
        <v>1</v>
      </c>
      <c r="T143" s="112">
        <f t="shared" si="39"/>
        <v>0</v>
      </c>
      <c r="U143" s="112">
        <f t="shared" si="40"/>
        <v>0</v>
      </c>
      <c r="V143" s="112">
        <f t="shared" si="41"/>
        <v>1</v>
      </c>
      <c r="W143" s="112">
        <f t="shared" si="42"/>
        <v>1</v>
      </c>
      <c r="X143" s="112" t="str">
        <f t="shared" si="36"/>
        <v/>
      </c>
      <c r="Y143" s="112" t="str">
        <f t="shared" si="37"/>
        <v/>
      </c>
      <c r="Z143" s="112" t="str">
        <f t="shared" si="43"/>
        <v/>
      </c>
      <c r="AA143" s="112" t="str">
        <f t="shared" si="44"/>
        <v/>
      </c>
      <c r="AB143" s="112" t="str">
        <f t="shared" si="45"/>
        <v/>
      </c>
      <c r="AC143" s="112" t="str">
        <f t="shared" si="46"/>
        <v/>
      </c>
      <c r="AD143" s="112" t="str">
        <f t="shared" si="47"/>
        <v/>
      </c>
    </row>
    <row r="144" spans="1:30" x14ac:dyDescent="0.2">
      <c r="A144" s="112" t="str">
        <f>IF(SUM(Q144:R144)=1,1+MAX($A$1:A143),"")</f>
        <v/>
      </c>
      <c r="B144" s="112">
        <f>IF(SUM(X144:Y144)=1,1+MAX($B$1:B143),"")</f>
        <v>14</v>
      </c>
      <c r="C144" s="112" t="str">
        <f>IF(SUM(Q144:R144,X144:Y144)=2,1+MAX($C$1:C143),"")</f>
        <v/>
      </c>
      <c r="D144" s="113">
        <v>38892</v>
      </c>
      <c r="E144" s="112">
        <v>2006</v>
      </c>
      <c r="F144" s="112" t="s">
        <v>2629</v>
      </c>
      <c r="H144" s="114" t="s">
        <v>1134</v>
      </c>
      <c r="I144" s="112">
        <f t="shared" si="32"/>
        <v>2</v>
      </c>
      <c r="J144" s="112">
        <f t="shared" si="33"/>
        <v>1</v>
      </c>
      <c r="K144" s="115" t="s">
        <v>1061</v>
      </c>
      <c r="L144" s="115" t="s">
        <v>2781</v>
      </c>
      <c r="M144" s="115" t="s">
        <v>2759</v>
      </c>
      <c r="N144" s="115">
        <v>43000</v>
      </c>
      <c r="O144" s="112">
        <v>1</v>
      </c>
      <c r="P144" s="116" t="s">
        <v>2626</v>
      </c>
      <c r="Q144" s="112" t="str">
        <f t="shared" si="34"/>
        <v/>
      </c>
      <c r="R144" s="112" t="str">
        <f t="shared" si="35"/>
        <v/>
      </c>
      <c r="S144" s="112" t="str">
        <f t="shared" si="38"/>
        <v/>
      </c>
      <c r="T144" s="112" t="str">
        <f t="shared" si="39"/>
        <v/>
      </c>
      <c r="U144" s="112" t="str">
        <f t="shared" si="40"/>
        <v/>
      </c>
      <c r="V144" s="112" t="str">
        <f t="shared" si="41"/>
        <v/>
      </c>
      <c r="W144" s="112" t="str">
        <f t="shared" si="42"/>
        <v/>
      </c>
      <c r="X144" s="112">
        <f t="shared" si="36"/>
        <v>1</v>
      </c>
      <c r="Y144" s="112" t="str">
        <f t="shared" si="37"/>
        <v/>
      </c>
      <c r="Z144" s="112">
        <f t="shared" si="43"/>
        <v>1</v>
      </c>
      <c r="AA144" s="112">
        <f t="shared" si="44"/>
        <v>0</v>
      </c>
      <c r="AB144" s="112">
        <f t="shared" si="45"/>
        <v>0</v>
      </c>
      <c r="AC144" s="112">
        <f t="shared" si="46"/>
        <v>3</v>
      </c>
      <c r="AD144" s="112">
        <f t="shared" si="47"/>
        <v>1</v>
      </c>
    </row>
    <row r="145" spans="1:30" x14ac:dyDescent="0.2">
      <c r="A145" s="112" t="str">
        <f>IF(SUM(Q145:R145)=1,1+MAX($A$1:A144),"")</f>
        <v/>
      </c>
      <c r="B145" s="112" t="str">
        <f>IF(SUM(X145:Y145)=1,1+MAX($B$1:B144),"")</f>
        <v/>
      </c>
      <c r="C145" s="112" t="str">
        <f>IF(SUM(Q145:R145,X145:Y145)=2,1+MAX($C$1:C144),"")</f>
        <v/>
      </c>
      <c r="D145" s="113">
        <v>38892</v>
      </c>
      <c r="E145" s="112">
        <v>2006</v>
      </c>
      <c r="F145" s="112" t="s">
        <v>2629</v>
      </c>
      <c r="H145" s="114" t="s">
        <v>2547</v>
      </c>
      <c r="I145" s="112">
        <f t="shared" si="32"/>
        <v>2</v>
      </c>
      <c r="J145" s="112">
        <f t="shared" si="33"/>
        <v>0</v>
      </c>
      <c r="K145" s="115" t="s">
        <v>2549</v>
      </c>
      <c r="L145" s="115" t="s">
        <v>2767</v>
      </c>
      <c r="M145" s="115" t="s">
        <v>2751</v>
      </c>
      <c r="N145" s="115">
        <v>66000</v>
      </c>
      <c r="O145" s="112">
        <v>1</v>
      </c>
      <c r="P145" s="116" t="s">
        <v>2641</v>
      </c>
      <c r="Q145" s="112" t="str">
        <f t="shared" si="34"/>
        <v/>
      </c>
      <c r="R145" s="112" t="str">
        <f t="shared" si="35"/>
        <v/>
      </c>
      <c r="S145" s="112" t="str">
        <f t="shared" si="38"/>
        <v/>
      </c>
      <c r="T145" s="112" t="str">
        <f t="shared" si="39"/>
        <v/>
      </c>
      <c r="U145" s="112" t="str">
        <f t="shared" si="40"/>
        <v/>
      </c>
      <c r="V145" s="112" t="str">
        <f t="shared" si="41"/>
        <v/>
      </c>
      <c r="W145" s="112" t="str">
        <f t="shared" si="42"/>
        <v/>
      </c>
      <c r="X145" s="112" t="str">
        <f t="shared" si="36"/>
        <v/>
      </c>
      <c r="Y145" s="112" t="str">
        <f t="shared" si="37"/>
        <v/>
      </c>
      <c r="Z145" s="112" t="str">
        <f t="shared" si="43"/>
        <v/>
      </c>
      <c r="AA145" s="112" t="str">
        <f t="shared" si="44"/>
        <v/>
      </c>
      <c r="AB145" s="112" t="str">
        <f t="shared" si="45"/>
        <v/>
      </c>
      <c r="AC145" s="112" t="str">
        <f t="shared" si="46"/>
        <v/>
      </c>
      <c r="AD145" s="112" t="str">
        <f t="shared" si="47"/>
        <v/>
      </c>
    </row>
    <row r="146" spans="1:30" x14ac:dyDescent="0.2">
      <c r="A146" s="112" t="str">
        <f>IF(SUM(Q146:R146)=1,1+MAX($A$1:A145),"")</f>
        <v/>
      </c>
      <c r="B146" s="112" t="str">
        <f>IF(SUM(X146:Y146)=1,1+MAX($B$1:B145),"")</f>
        <v/>
      </c>
      <c r="C146" s="112" t="str">
        <f>IF(SUM(Q146:R146,X146:Y146)=2,1+MAX($C$1:C145),"")</f>
        <v/>
      </c>
      <c r="D146" s="113">
        <v>38891</v>
      </c>
      <c r="E146" s="112">
        <v>2006</v>
      </c>
      <c r="F146" s="112" t="s">
        <v>2652</v>
      </c>
      <c r="G146" s="112" t="s">
        <v>2653</v>
      </c>
      <c r="H146" s="114" t="s">
        <v>2388</v>
      </c>
      <c r="I146" s="112">
        <f t="shared" si="32"/>
        <v>0</v>
      </c>
      <c r="J146" s="112">
        <f t="shared" si="33"/>
        <v>1</v>
      </c>
      <c r="K146" s="115" t="s">
        <v>2773</v>
      </c>
      <c r="L146" s="115" t="s">
        <v>2763</v>
      </c>
      <c r="M146" s="115" t="s">
        <v>2782</v>
      </c>
      <c r="N146" s="115">
        <v>72000</v>
      </c>
      <c r="O146" s="112">
        <v>1</v>
      </c>
      <c r="P146" s="116" t="s">
        <v>2601</v>
      </c>
      <c r="Q146" s="112" t="str">
        <f t="shared" si="34"/>
        <v/>
      </c>
      <c r="R146" s="112" t="str">
        <f t="shared" si="35"/>
        <v/>
      </c>
      <c r="S146" s="112" t="str">
        <f t="shared" si="38"/>
        <v/>
      </c>
      <c r="T146" s="112" t="str">
        <f t="shared" si="39"/>
        <v/>
      </c>
      <c r="U146" s="112" t="str">
        <f t="shared" si="40"/>
        <v/>
      </c>
      <c r="V146" s="112" t="str">
        <f t="shared" si="41"/>
        <v/>
      </c>
      <c r="W146" s="112" t="str">
        <f t="shared" si="42"/>
        <v/>
      </c>
      <c r="X146" s="112" t="str">
        <f t="shared" si="36"/>
        <v/>
      </c>
      <c r="Y146" s="112" t="str">
        <f t="shared" si="37"/>
        <v/>
      </c>
      <c r="Z146" s="112" t="str">
        <f t="shared" si="43"/>
        <v/>
      </c>
      <c r="AA146" s="112" t="str">
        <f t="shared" si="44"/>
        <v/>
      </c>
      <c r="AB146" s="112" t="str">
        <f t="shared" si="45"/>
        <v/>
      </c>
      <c r="AC146" s="112" t="str">
        <f t="shared" si="46"/>
        <v/>
      </c>
      <c r="AD146" s="112" t="str">
        <f t="shared" si="47"/>
        <v/>
      </c>
    </row>
    <row r="147" spans="1:30" x14ac:dyDescent="0.2">
      <c r="A147" s="112" t="str">
        <f>IF(SUM(Q147:R147)=1,1+MAX($A$1:A146),"")</f>
        <v/>
      </c>
      <c r="B147" s="112" t="str">
        <f>IF(SUM(X147:Y147)=1,1+MAX($B$1:B146),"")</f>
        <v/>
      </c>
      <c r="C147" s="112" t="str">
        <f>IF(SUM(Q147:R147,X147:Y147)=2,1+MAX($C$1:C146),"")</f>
        <v/>
      </c>
      <c r="D147" s="113">
        <v>38891</v>
      </c>
      <c r="E147" s="112">
        <v>2006</v>
      </c>
      <c r="F147" s="112" t="s">
        <v>2652</v>
      </c>
      <c r="G147" s="112" t="s">
        <v>2653</v>
      </c>
      <c r="H147" s="114" t="s">
        <v>2559</v>
      </c>
      <c r="I147" s="112">
        <f t="shared" si="32"/>
        <v>0</v>
      </c>
      <c r="J147" s="112">
        <f t="shared" si="33"/>
        <v>1</v>
      </c>
      <c r="K147" s="115" t="s">
        <v>2557</v>
      </c>
      <c r="L147" s="115" t="s">
        <v>2778</v>
      </c>
      <c r="N147" s="115">
        <v>46000</v>
      </c>
      <c r="O147" s="112">
        <v>1</v>
      </c>
      <c r="P147" s="116" t="s">
        <v>2601</v>
      </c>
      <c r="Q147" s="112" t="str">
        <f t="shared" si="34"/>
        <v/>
      </c>
      <c r="R147" s="112" t="str">
        <f t="shared" si="35"/>
        <v/>
      </c>
      <c r="S147" s="112" t="str">
        <f t="shared" si="38"/>
        <v/>
      </c>
      <c r="T147" s="112" t="str">
        <f t="shared" si="39"/>
        <v/>
      </c>
      <c r="U147" s="112" t="str">
        <f t="shared" si="40"/>
        <v/>
      </c>
      <c r="V147" s="112" t="str">
        <f t="shared" si="41"/>
        <v/>
      </c>
      <c r="W147" s="112" t="str">
        <f t="shared" si="42"/>
        <v/>
      </c>
      <c r="X147" s="112" t="str">
        <f t="shared" si="36"/>
        <v/>
      </c>
      <c r="Y147" s="112" t="str">
        <f t="shared" si="37"/>
        <v/>
      </c>
      <c r="Z147" s="112" t="str">
        <f t="shared" si="43"/>
        <v/>
      </c>
      <c r="AA147" s="112" t="str">
        <f t="shared" si="44"/>
        <v/>
      </c>
      <c r="AB147" s="112" t="str">
        <f t="shared" si="45"/>
        <v/>
      </c>
      <c r="AC147" s="112" t="str">
        <f t="shared" si="46"/>
        <v/>
      </c>
      <c r="AD147" s="112" t="str">
        <f t="shared" si="47"/>
        <v/>
      </c>
    </row>
    <row r="148" spans="1:30" x14ac:dyDescent="0.2">
      <c r="A148" s="112" t="str">
        <f>IF(SUM(Q148:R148)=1,1+MAX($A$1:A147),"")</f>
        <v/>
      </c>
      <c r="B148" s="112" t="str">
        <f>IF(SUM(X148:Y148)=1,1+MAX($B$1:B147),"")</f>
        <v/>
      </c>
      <c r="C148" s="112" t="str">
        <f>IF(SUM(Q148:R148,X148:Y148)=2,1+MAX($C$1:C147),"")</f>
        <v/>
      </c>
      <c r="D148" s="113">
        <v>38891</v>
      </c>
      <c r="E148" s="112">
        <v>2006</v>
      </c>
      <c r="F148" s="112" t="s">
        <v>2656</v>
      </c>
      <c r="G148" s="112" t="s">
        <v>2657</v>
      </c>
      <c r="H148" s="114" t="s">
        <v>2543</v>
      </c>
      <c r="I148" s="112">
        <f t="shared" si="32"/>
        <v>0</v>
      </c>
      <c r="J148" s="112">
        <f t="shared" si="33"/>
        <v>2</v>
      </c>
      <c r="K148" s="115" t="s">
        <v>2558</v>
      </c>
      <c r="L148" s="115" t="s">
        <v>2776</v>
      </c>
      <c r="M148" s="115" t="s">
        <v>2764</v>
      </c>
      <c r="N148" s="115">
        <v>43000</v>
      </c>
      <c r="O148" s="112">
        <v>1</v>
      </c>
      <c r="P148" s="116" t="s">
        <v>2687</v>
      </c>
      <c r="Q148" s="112" t="str">
        <f t="shared" si="34"/>
        <v/>
      </c>
      <c r="R148" s="112" t="str">
        <f t="shared" si="35"/>
        <v/>
      </c>
      <c r="S148" s="112" t="str">
        <f t="shared" si="38"/>
        <v/>
      </c>
      <c r="T148" s="112" t="str">
        <f t="shared" si="39"/>
        <v/>
      </c>
      <c r="U148" s="112" t="str">
        <f t="shared" si="40"/>
        <v/>
      </c>
      <c r="V148" s="112" t="str">
        <f t="shared" si="41"/>
        <v/>
      </c>
      <c r="W148" s="112" t="str">
        <f t="shared" si="42"/>
        <v/>
      </c>
      <c r="X148" s="112" t="str">
        <f t="shared" si="36"/>
        <v/>
      </c>
      <c r="Y148" s="112" t="str">
        <f t="shared" si="37"/>
        <v/>
      </c>
      <c r="Z148" s="112" t="str">
        <f t="shared" si="43"/>
        <v/>
      </c>
      <c r="AA148" s="112" t="str">
        <f t="shared" si="44"/>
        <v/>
      </c>
      <c r="AB148" s="112" t="str">
        <f t="shared" si="45"/>
        <v/>
      </c>
      <c r="AC148" s="112" t="str">
        <f t="shared" si="46"/>
        <v/>
      </c>
      <c r="AD148" s="112" t="str">
        <f t="shared" si="47"/>
        <v/>
      </c>
    </row>
    <row r="149" spans="1:30" x14ac:dyDescent="0.2">
      <c r="A149" s="112" t="str">
        <f>IF(SUM(Q149:R149)=1,1+MAX($A$1:A148),"")</f>
        <v/>
      </c>
      <c r="B149" s="112" t="str">
        <f>IF(SUM(X149:Y149)=1,1+MAX($B$1:B148),"")</f>
        <v/>
      </c>
      <c r="C149" s="112" t="str">
        <f>IF(SUM(Q149:R149,X149:Y149)=2,1+MAX($C$1:C148),"")</f>
        <v/>
      </c>
      <c r="D149" s="113">
        <v>38891</v>
      </c>
      <c r="E149" s="112">
        <v>2006</v>
      </c>
      <c r="F149" s="112" t="s">
        <v>2656</v>
      </c>
      <c r="G149" s="112" t="s">
        <v>2657</v>
      </c>
      <c r="H149" s="114" t="s">
        <v>2541</v>
      </c>
      <c r="I149" s="112">
        <f t="shared" si="32"/>
        <v>2</v>
      </c>
      <c r="J149" s="112">
        <f t="shared" si="33"/>
        <v>0</v>
      </c>
      <c r="K149" s="115" t="s">
        <v>2783</v>
      </c>
      <c r="L149" s="115" t="s">
        <v>2777</v>
      </c>
      <c r="M149" s="115" t="s">
        <v>2742</v>
      </c>
      <c r="N149" s="115">
        <v>45000</v>
      </c>
      <c r="O149" s="112">
        <v>1</v>
      </c>
      <c r="P149" s="116" t="s">
        <v>2641</v>
      </c>
      <c r="Q149" s="112" t="str">
        <f t="shared" si="34"/>
        <v/>
      </c>
      <c r="R149" s="112" t="str">
        <f t="shared" si="35"/>
        <v/>
      </c>
      <c r="S149" s="112" t="str">
        <f t="shared" si="38"/>
        <v/>
      </c>
      <c r="T149" s="112" t="str">
        <f t="shared" si="39"/>
        <v/>
      </c>
      <c r="U149" s="112" t="str">
        <f t="shared" si="40"/>
        <v/>
      </c>
      <c r="V149" s="112" t="str">
        <f t="shared" si="41"/>
        <v/>
      </c>
      <c r="W149" s="112" t="str">
        <f t="shared" si="42"/>
        <v/>
      </c>
      <c r="X149" s="112" t="str">
        <f t="shared" si="36"/>
        <v/>
      </c>
      <c r="Y149" s="112" t="str">
        <f t="shared" si="37"/>
        <v/>
      </c>
      <c r="Z149" s="112" t="str">
        <f t="shared" si="43"/>
        <v/>
      </c>
      <c r="AA149" s="112" t="str">
        <f t="shared" si="44"/>
        <v/>
      </c>
      <c r="AB149" s="112" t="str">
        <f t="shared" si="45"/>
        <v/>
      </c>
      <c r="AC149" s="112" t="str">
        <f t="shared" si="46"/>
        <v/>
      </c>
      <c r="AD149" s="112" t="str">
        <f t="shared" si="47"/>
        <v/>
      </c>
    </row>
    <row r="150" spans="1:30" x14ac:dyDescent="0.2">
      <c r="A150" s="112" t="str">
        <f>IF(SUM(Q150:R150)=1,1+MAX($A$1:A149),"")</f>
        <v/>
      </c>
      <c r="B150" s="112" t="str">
        <f>IF(SUM(X150:Y150)=1,1+MAX($B$1:B149),"")</f>
        <v/>
      </c>
      <c r="C150" s="112" t="str">
        <f>IF(SUM(Q150:R150,X150:Y150)=2,1+MAX($C$1:C149),"")</f>
        <v/>
      </c>
      <c r="D150" s="113">
        <v>38890</v>
      </c>
      <c r="E150" s="112">
        <v>2006</v>
      </c>
      <c r="F150" s="112" t="s">
        <v>2661</v>
      </c>
      <c r="G150" s="112" t="s">
        <v>2662</v>
      </c>
      <c r="H150" s="114" t="s">
        <v>1317</v>
      </c>
      <c r="I150" s="112">
        <f t="shared" si="32"/>
        <v>2</v>
      </c>
      <c r="J150" s="112">
        <f t="shared" si="33"/>
        <v>2</v>
      </c>
      <c r="K150" s="115" t="s">
        <v>1024</v>
      </c>
      <c r="L150" s="115" t="s">
        <v>2765</v>
      </c>
      <c r="M150" s="115" t="s">
        <v>2784</v>
      </c>
      <c r="N150" s="115">
        <v>52000</v>
      </c>
      <c r="O150" s="112">
        <v>1</v>
      </c>
      <c r="P150" s="116" t="s">
        <v>2697</v>
      </c>
      <c r="Q150" s="112" t="str">
        <f t="shared" si="34"/>
        <v/>
      </c>
      <c r="R150" s="112" t="str">
        <f t="shared" si="35"/>
        <v/>
      </c>
      <c r="S150" s="112" t="str">
        <f t="shared" si="38"/>
        <v/>
      </c>
      <c r="T150" s="112" t="str">
        <f t="shared" si="39"/>
        <v/>
      </c>
      <c r="U150" s="112" t="str">
        <f t="shared" si="40"/>
        <v/>
      </c>
      <c r="V150" s="112" t="str">
        <f t="shared" si="41"/>
        <v/>
      </c>
      <c r="W150" s="112" t="str">
        <f t="shared" si="42"/>
        <v/>
      </c>
      <c r="X150" s="112" t="str">
        <f t="shared" si="36"/>
        <v/>
      </c>
      <c r="Y150" s="112" t="str">
        <f t="shared" si="37"/>
        <v/>
      </c>
      <c r="Z150" s="112" t="str">
        <f t="shared" si="43"/>
        <v/>
      </c>
      <c r="AA150" s="112" t="str">
        <f t="shared" si="44"/>
        <v/>
      </c>
      <c r="AB150" s="112" t="str">
        <f t="shared" si="45"/>
        <v/>
      </c>
      <c r="AC150" s="112" t="str">
        <f t="shared" si="46"/>
        <v/>
      </c>
      <c r="AD150" s="112" t="str">
        <f t="shared" si="47"/>
        <v/>
      </c>
    </row>
    <row r="151" spans="1:30" x14ac:dyDescent="0.2">
      <c r="A151" s="112" t="str">
        <f>IF(SUM(Q151:R151)=1,1+MAX($A$1:A150),"")</f>
        <v/>
      </c>
      <c r="B151" s="112" t="str">
        <f>IF(SUM(X151:Y151)=1,1+MAX($B$1:B150),"")</f>
        <v/>
      </c>
      <c r="C151" s="112" t="str">
        <f>IF(SUM(Q151:R151,X151:Y151)=2,1+MAX($C$1:C150),"")</f>
        <v/>
      </c>
      <c r="D151" s="113">
        <v>38890</v>
      </c>
      <c r="E151" s="112">
        <v>2006</v>
      </c>
      <c r="F151" s="112" t="s">
        <v>2661</v>
      </c>
      <c r="G151" s="112" t="s">
        <v>2662</v>
      </c>
      <c r="H151" s="114" t="s">
        <v>1442</v>
      </c>
      <c r="I151" s="112">
        <f t="shared" si="32"/>
        <v>4</v>
      </c>
      <c r="J151" s="112">
        <f t="shared" si="33"/>
        <v>1</v>
      </c>
      <c r="K151" s="115" t="s">
        <v>1395</v>
      </c>
      <c r="L151" s="115" t="s">
        <v>2785</v>
      </c>
      <c r="M151" s="115" t="s">
        <v>2786</v>
      </c>
      <c r="N151" s="115">
        <v>65000</v>
      </c>
      <c r="O151" s="112">
        <v>1</v>
      </c>
      <c r="P151" s="116" t="s">
        <v>2683</v>
      </c>
      <c r="Q151" s="112" t="str">
        <f t="shared" si="34"/>
        <v/>
      </c>
      <c r="R151" s="112" t="str">
        <f t="shared" si="35"/>
        <v/>
      </c>
      <c r="S151" s="112" t="str">
        <f t="shared" si="38"/>
        <v/>
      </c>
      <c r="T151" s="112" t="str">
        <f t="shared" si="39"/>
        <v/>
      </c>
      <c r="U151" s="112" t="str">
        <f t="shared" si="40"/>
        <v/>
      </c>
      <c r="V151" s="112" t="str">
        <f t="shared" si="41"/>
        <v/>
      </c>
      <c r="W151" s="112" t="str">
        <f t="shared" si="42"/>
        <v/>
      </c>
      <c r="X151" s="112" t="str">
        <f t="shared" si="36"/>
        <v/>
      </c>
      <c r="Y151" s="112" t="str">
        <f t="shared" si="37"/>
        <v/>
      </c>
      <c r="Z151" s="112" t="str">
        <f t="shared" si="43"/>
        <v/>
      </c>
      <c r="AA151" s="112" t="str">
        <f t="shared" si="44"/>
        <v/>
      </c>
      <c r="AB151" s="112" t="str">
        <f t="shared" si="45"/>
        <v/>
      </c>
      <c r="AC151" s="112" t="str">
        <f t="shared" si="46"/>
        <v/>
      </c>
      <c r="AD151" s="112" t="str">
        <f t="shared" si="47"/>
        <v/>
      </c>
    </row>
    <row r="152" spans="1:30" x14ac:dyDescent="0.2">
      <c r="A152" s="112" t="str">
        <f>IF(SUM(Q152:R152)=1,1+MAX($A$1:A151),"")</f>
        <v/>
      </c>
      <c r="B152" s="112" t="str">
        <f>IF(SUM(X152:Y152)=1,1+MAX($B$1:B151),"")</f>
        <v/>
      </c>
      <c r="C152" s="112" t="str">
        <f>IF(SUM(Q152:R152,X152:Y152)=2,1+MAX($C$1:C151),"")</f>
        <v/>
      </c>
      <c r="D152" s="113">
        <v>38890</v>
      </c>
      <c r="E152" s="112">
        <v>2006</v>
      </c>
      <c r="F152" s="112" t="s">
        <v>2666</v>
      </c>
      <c r="G152" s="112" t="s">
        <v>2667</v>
      </c>
      <c r="H152" s="114" t="s">
        <v>2658</v>
      </c>
      <c r="I152" s="112">
        <f t="shared" si="32"/>
        <v>2</v>
      </c>
      <c r="J152" s="112">
        <f t="shared" si="33"/>
        <v>1</v>
      </c>
      <c r="K152" s="115" t="s">
        <v>2614</v>
      </c>
      <c r="L152" s="115" t="s">
        <v>2779</v>
      </c>
      <c r="M152" s="115" t="s">
        <v>2787</v>
      </c>
      <c r="N152" s="115">
        <v>41000</v>
      </c>
      <c r="O152" s="112">
        <v>3</v>
      </c>
      <c r="P152" s="116" t="s">
        <v>2626</v>
      </c>
      <c r="Q152" s="112" t="str">
        <f t="shared" si="34"/>
        <v/>
      </c>
      <c r="R152" s="112" t="str">
        <f t="shared" si="35"/>
        <v/>
      </c>
      <c r="S152" s="112" t="str">
        <f t="shared" si="38"/>
        <v/>
      </c>
      <c r="T152" s="112" t="str">
        <f t="shared" si="39"/>
        <v/>
      </c>
      <c r="U152" s="112" t="str">
        <f t="shared" si="40"/>
        <v/>
      </c>
      <c r="V152" s="112" t="str">
        <f t="shared" si="41"/>
        <v/>
      </c>
      <c r="W152" s="112" t="str">
        <f t="shared" si="42"/>
        <v/>
      </c>
      <c r="X152" s="112" t="str">
        <f t="shared" si="36"/>
        <v/>
      </c>
      <c r="Y152" s="112" t="str">
        <f t="shared" si="37"/>
        <v/>
      </c>
      <c r="Z152" s="112" t="str">
        <f t="shared" si="43"/>
        <v/>
      </c>
      <c r="AA152" s="112" t="str">
        <f t="shared" si="44"/>
        <v/>
      </c>
      <c r="AB152" s="112" t="str">
        <f t="shared" si="45"/>
        <v/>
      </c>
      <c r="AC152" s="112" t="str">
        <f t="shared" si="46"/>
        <v/>
      </c>
      <c r="AD152" s="112" t="str">
        <f t="shared" si="47"/>
        <v/>
      </c>
    </row>
    <row r="153" spans="1:30" x14ac:dyDescent="0.2">
      <c r="A153" s="112" t="str">
        <f>IF(SUM(Q153:R153)=1,1+MAX($A$1:A152),"")</f>
        <v/>
      </c>
      <c r="B153" s="112" t="str">
        <f>IF(SUM(X153:Y153)=1,1+MAX($B$1:B152),"")</f>
        <v/>
      </c>
      <c r="C153" s="112" t="str">
        <f>IF(SUM(Q153:R153,X153:Y153)=2,1+MAX($C$1:C152),"")</f>
        <v/>
      </c>
      <c r="D153" s="113">
        <v>38890</v>
      </c>
      <c r="E153" s="112">
        <v>2006</v>
      </c>
      <c r="F153" s="112" t="s">
        <v>2666</v>
      </c>
      <c r="G153" s="112" t="s">
        <v>2667</v>
      </c>
      <c r="H153" s="114" t="s">
        <v>2646</v>
      </c>
      <c r="I153" s="112">
        <f t="shared" si="32"/>
        <v>0</v>
      </c>
      <c r="J153" s="112">
        <f t="shared" si="33"/>
        <v>2</v>
      </c>
      <c r="K153" s="115" t="s">
        <v>2674</v>
      </c>
      <c r="L153" s="115" t="s">
        <v>2774</v>
      </c>
      <c r="M153" s="115" t="s">
        <v>2724</v>
      </c>
      <c r="N153" s="115">
        <v>50000</v>
      </c>
      <c r="O153" s="112">
        <v>1</v>
      </c>
      <c r="P153" s="116" t="s">
        <v>2687</v>
      </c>
      <c r="Q153" s="112" t="str">
        <f t="shared" si="34"/>
        <v/>
      </c>
      <c r="R153" s="112" t="str">
        <f t="shared" si="35"/>
        <v/>
      </c>
      <c r="S153" s="112" t="str">
        <f t="shared" si="38"/>
        <v/>
      </c>
      <c r="T153" s="112" t="str">
        <f t="shared" si="39"/>
        <v/>
      </c>
      <c r="U153" s="112" t="str">
        <f t="shared" si="40"/>
        <v/>
      </c>
      <c r="V153" s="112" t="str">
        <f t="shared" si="41"/>
        <v/>
      </c>
      <c r="W153" s="112" t="str">
        <f t="shared" si="42"/>
        <v/>
      </c>
      <c r="X153" s="112" t="str">
        <f t="shared" si="36"/>
        <v/>
      </c>
      <c r="Y153" s="112" t="str">
        <f t="shared" si="37"/>
        <v/>
      </c>
      <c r="Z153" s="112" t="str">
        <f t="shared" si="43"/>
        <v/>
      </c>
      <c r="AA153" s="112" t="str">
        <f t="shared" si="44"/>
        <v/>
      </c>
      <c r="AB153" s="112" t="str">
        <f t="shared" si="45"/>
        <v/>
      </c>
      <c r="AC153" s="112" t="str">
        <f t="shared" si="46"/>
        <v/>
      </c>
      <c r="AD153" s="112" t="str">
        <f t="shared" si="47"/>
        <v/>
      </c>
    </row>
    <row r="154" spans="1:30" x14ac:dyDescent="0.2">
      <c r="A154" s="112" t="str">
        <f>IF(SUM(Q154:R154)=1,1+MAX($A$1:A153),"")</f>
        <v/>
      </c>
      <c r="B154" s="112" t="str">
        <f>IF(SUM(X154:Y154)=1,1+MAX($B$1:B153),"")</f>
        <v/>
      </c>
      <c r="C154" s="112" t="str">
        <f>IF(SUM(Q154:R154,X154:Y154)=2,1+MAX($C$1:C153),"")</f>
        <v/>
      </c>
      <c r="D154" s="113">
        <v>38889</v>
      </c>
      <c r="E154" s="112">
        <v>2006</v>
      </c>
      <c r="F154" s="112" t="s">
        <v>2672</v>
      </c>
      <c r="G154" s="112" t="s">
        <v>2673</v>
      </c>
      <c r="H154" s="114" t="s">
        <v>2608</v>
      </c>
      <c r="I154" s="112">
        <f t="shared" si="32"/>
        <v>1</v>
      </c>
      <c r="J154" s="112">
        <f t="shared" si="33"/>
        <v>1</v>
      </c>
      <c r="K154" s="115" t="s">
        <v>2553</v>
      </c>
      <c r="L154" s="115" t="s">
        <v>2781</v>
      </c>
      <c r="M154" s="115" t="s">
        <v>2788</v>
      </c>
      <c r="N154" s="115">
        <v>38000</v>
      </c>
      <c r="O154" s="112">
        <v>1</v>
      </c>
      <c r="P154" s="116" t="s">
        <v>2645</v>
      </c>
      <c r="Q154" s="112" t="str">
        <f t="shared" si="34"/>
        <v/>
      </c>
      <c r="R154" s="112" t="str">
        <f t="shared" si="35"/>
        <v/>
      </c>
      <c r="S154" s="112" t="str">
        <f t="shared" si="38"/>
        <v/>
      </c>
      <c r="T154" s="112" t="str">
        <f t="shared" si="39"/>
        <v/>
      </c>
      <c r="U154" s="112" t="str">
        <f t="shared" si="40"/>
        <v/>
      </c>
      <c r="V154" s="112" t="str">
        <f t="shared" si="41"/>
        <v/>
      </c>
      <c r="W154" s="112" t="str">
        <f t="shared" si="42"/>
        <v/>
      </c>
      <c r="X154" s="112" t="str">
        <f t="shared" si="36"/>
        <v/>
      </c>
      <c r="Y154" s="112" t="str">
        <f t="shared" si="37"/>
        <v/>
      </c>
      <c r="Z154" s="112" t="str">
        <f t="shared" si="43"/>
        <v/>
      </c>
      <c r="AA154" s="112" t="str">
        <f t="shared" si="44"/>
        <v/>
      </c>
      <c r="AB154" s="112" t="str">
        <f t="shared" si="45"/>
        <v/>
      </c>
      <c r="AC154" s="112" t="str">
        <f t="shared" si="46"/>
        <v/>
      </c>
      <c r="AD154" s="112" t="str">
        <f t="shared" si="47"/>
        <v/>
      </c>
    </row>
    <row r="155" spans="1:30" x14ac:dyDescent="0.2">
      <c r="A155" s="112" t="str">
        <f>IF(SUM(Q155:R155)=1,1+MAX($A$1:A154),"")</f>
        <v/>
      </c>
      <c r="B155" s="112" t="str">
        <f>IF(SUM(X155:Y155)=1,1+MAX($B$1:B154),"")</f>
        <v/>
      </c>
      <c r="C155" s="112" t="str">
        <f>IF(SUM(Q155:R155,X155:Y155)=2,1+MAX($C$1:C154),"")</f>
        <v/>
      </c>
      <c r="D155" s="113">
        <v>38889</v>
      </c>
      <c r="E155" s="112">
        <v>2006</v>
      </c>
      <c r="F155" s="112" t="s">
        <v>2672</v>
      </c>
      <c r="G155" s="112" t="s">
        <v>2673</v>
      </c>
      <c r="H155" s="114" t="s">
        <v>1061</v>
      </c>
      <c r="I155" s="112">
        <f t="shared" si="32"/>
        <v>1</v>
      </c>
      <c r="J155" s="112">
        <f t="shared" si="33"/>
        <v>2</v>
      </c>
      <c r="K155" s="115" t="s">
        <v>2556</v>
      </c>
      <c r="L155" s="115" t="s">
        <v>2771</v>
      </c>
      <c r="M155" s="115" t="s">
        <v>2789</v>
      </c>
      <c r="N155" s="115">
        <v>52000</v>
      </c>
      <c r="O155" s="112">
        <v>1</v>
      </c>
      <c r="P155" s="116" t="s">
        <v>2638</v>
      </c>
      <c r="Q155" s="112" t="str">
        <f t="shared" si="34"/>
        <v/>
      </c>
      <c r="R155" s="112" t="str">
        <f t="shared" si="35"/>
        <v/>
      </c>
      <c r="S155" s="112" t="str">
        <f t="shared" si="38"/>
        <v/>
      </c>
      <c r="T155" s="112" t="str">
        <f t="shared" si="39"/>
        <v/>
      </c>
      <c r="U155" s="112" t="str">
        <f t="shared" si="40"/>
        <v/>
      </c>
      <c r="V155" s="112" t="str">
        <f t="shared" si="41"/>
        <v/>
      </c>
      <c r="W155" s="112" t="str">
        <f t="shared" si="42"/>
        <v/>
      </c>
      <c r="X155" s="112" t="str">
        <f t="shared" si="36"/>
        <v/>
      </c>
      <c r="Y155" s="112" t="str">
        <f t="shared" si="37"/>
        <v/>
      </c>
      <c r="Z155" s="112" t="str">
        <f t="shared" si="43"/>
        <v/>
      </c>
      <c r="AA155" s="112" t="str">
        <f t="shared" si="44"/>
        <v/>
      </c>
      <c r="AB155" s="112" t="str">
        <f t="shared" si="45"/>
        <v/>
      </c>
      <c r="AC155" s="112" t="str">
        <f t="shared" si="46"/>
        <v/>
      </c>
      <c r="AD155" s="112" t="str">
        <f t="shared" si="47"/>
        <v/>
      </c>
    </row>
    <row r="156" spans="1:30" x14ac:dyDescent="0.2">
      <c r="A156" s="112" t="str">
        <f>IF(SUM(Q156:R156)=1,1+MAX($A$1:A155),"")</f>
        <v/>
      </c>
      <c r="B156" s="112" t="str">
        <f>IF(SUM(X156:Y156)=1,1+MAX($B$1:B155),"")</f>
        <v/>
      </c>
      <c r="C156" s="112" t="str">
        <f>IF(SUM(Q156:R156,X156:Y156)=2,1+MAX($C$1:C155),"")</f>
        <v/>
      </c>
      <c r="D156" s="113">
        <v>38889</v>
      </c>
      <c r="E156" s="112">
        <v>2006</v>
      </c>
      <c r="F156" s="112" t="s">
        <v>2677</v>
      </c>
      <c r="G156" s="112" t="s">
        <v>2678</v>
      </c>
      <c r="H156" s="114" t="s">
        <v>2679</v>
      </c>
      <c r="I156" s="112">
        <f t="shared" si="32"/>
        <v>3</v>
      </c>
      <c r="J156" s="112">
        <f t="shared" si="33"/>
        <v>2</v>
      </c>
      <c r="K156" s="115" t="s">
        <v>2790</v>
      </c>
      <c r="L156" s="115" t="s">
        <v>2767</v>
      </c>
      <c r="M156" s="115" t="s">
        <v>2616</v>
      </c>
      <c r="N156" s="115">
        <v>66000</v>
      </c>
      <c r="O156" s="112">
        <v>1</v>
      </c>
      <c r="P156" s="116" t="s">
        <v>2664</v>
      </c>
      <c r="Q156" s="112" t="str">
        <f t="shared" si="34"/>
        <v/>
      </c>
      <c r="R156" s="112" t="str">
        <f t="shared" si="35"/>
        <v/>
      </c>
      <c r="S156" s="112" t="str">
        <f t="shared" si="38"/>
        <v/>
      </c>
      <c r="T156" s="112" t="str">
        <f t="shared" si="39"/>
        <v/>
      </c>
      <c r="U156" s="112" t="str">
        <f t="shared" si="40"/>
        <v/>
      </c>
      <c r="V156" s="112" t="str">
        <f t="shared" si="41"/>
        <v/>
      </c>
      <c r="W156" s="112" t="str">
        <f t="shared" si="42"/>
        <v/>
      </c>
      <c r="X156" s="112" t="str">
        <f t="shared" si="36"/>
        <v/>
      </c>
      <c r="Y156" s="112" t="str">
        <f t="shared" si="37"/>
        <v/>
      </c>
      <c r="Z156" s="112" t="str">
        <f t="shared" si="43"/>
        <v/>
      </c>
      <c r="AA156" s="112" t="str">
        <f t="shared" si="44"/>
        <v/>
      </c>
      <c r="AB156" s="112" t="str">
        <f t="shared" si="45"/>
        <v/>
      </c>
      <c r="AC156" s="112" t="str">
        <f t="shared" si="46"/>
        <v/>
      </c>
      <c r="AD156" s="112" t="str">
        <f t="shared" si="47"/>
        <v/>
      </c>
    </row>
    <row r="157" spans="1:30" x14ac:dyDescent="0.2">
      <c r="A157" s="112" t="str">
        <f>IF(SUM(Q157:R157)=1,1+MAX($A$1:A156),"")</f>
        <v/>
      </c>
      <c r="B157" s="112">
        <f>IF(SUM(X157:Y157)=1,1+MAX($B$1:B156),"")</f>
        <v>15</v>
      </c>
      <c r="C157" s="112" t="str">
        <f>IF(SUM(Q157:R157,X157:Y157)=2,1+MAX($C$1:C156),"")</f>
        <v/>
      </c>
      <c r="D157" s="113">
        <v>38889</v>
      </c>
      <c r="E157" s="112">
        <v>2006</v>
      </c>
      <c r="F157" s="112" t="s">
        <v>2677</v>
      </c>
      <c r="G157" s="112" t="s">
        <v>2678</v>
      </c>
      <c r="H157" s="114" t="s">
        <v>1134</v>
      </c>
      <c r="I157" s="112">
        <f t="shared" si="32"/>
        <v>0</v>
      </c>
      <c r="J157" s="112">
        <f t="shared" si="33"/>
        <v>0</v>
      </c>
      <c r="K157" s="115" t="s">
        <v>2604</v>
      </c>
      <c r="L157" s="115" t="s">
        <v>2769</v>
      </c>
      <c r="M157" s="115" t="s">
        <v>2770</v>
      </c>
      <c r="N157" s="115">
        <v>48000</v>
      </c>
      <c r="O157" s="112">
        <v>1</v>
      </c>
      <c r="P157" s="116" t="s">
        <v>2613</v>
      </c>
      <c r="Q157" s="112" t="str">
        <f t="shared" si="34"/>
        <v/>
      </c>
      <c r="R157" s="112" t="str">
        <f t="shared" si="35"/>
        <v/>
      </c>
      <c r="S157" s="112" t="str">
        <f t="shared" si="38"/>
        <v/>
      </c>
      <c r="T157" s="112" t="str">
        <f t="shared" si="39"/>
        <v/>
      </c>
      <c r="U157" s="112" t="str">
        <f t="shared" si="40"/>
        <v/>
      </c>
      <c r="V157" s="112" t="str">
        <f t="shared" si="41"/>
        <v/>
      </c>
      <c r="W157" s="112" t="str">
        <f t="shared" si="42"/>
        <v/>
      </c>
      <c r="X157" s="112">
        <f t="shared" si="36"/>
        <v>1</v>
      </c>
      <c r="Y157" s="112" t="str">
        <f t="shared" si="37"/>
        <v/>
      </c>
      <c r="Z157" s="112">
        <f t="shared" si="43"/>
        <v>0</v>
      </c>
      <c r="AA157" s="112">
        <f t="shared" si="44"/>
        <v>1</v>
      </c>
      <c r="AB157" s="112">
        <f t="shared" si="45"/>
        <v>0</v>
      </c>
      <c r="AC157" s="112">
        <f t="shared" si="46"/>
        <v>0</v>
      </c>
      <c r="AD157" s="112">
        <f t="shared" si="47"/>
        <v>0</v>
      </c>
    </row>
    <row r="158" spans="1:30" x14ac:dyDescent="0.2">
      <c r="A158" s="112" t="str">
        <f>IF(SUM(Q158:R158)=1,1+MAX($A$1:A157),"")</f>
        <v/>
      </c>
      <c r="B158" s="112" t="str">
        <f>IF(SUM(X158:Y158)=1,1+MAX($B$1:B157),"")</f>
        <v/>
      </c>
      <c r="C158" s="112" t="str">
        <f>IF(SUM(Q158:R158,X158:Y158)=2,1+MAX($C$1:C157),"")</f>
        <v/>
      </c>
      <c r="D158" s="113">
        <v>38888</v>
      </c>
      <c r="E158" s="112">
        <v>2006</v>
      </c>
      <c r="F158" s="112" t="s">
        <v>2684</v>
      </c>
      <c r="G158" s="112" t="s">
        <v>2685</v>
      </c>
      <c r="H158" s="114" t="s">
        <v>2709</v>
      </c>
      <c r="I158" s="112">
        <f t="shared" si="32"/>
        <v>2</v>
      </c>
      <c r="J158" s="112">
        <f t="shared" si="33"/>
        <v>0</v>
      </c>
      <c r="K158" s="115" t="s">
        <v>2791</v>
      </c>
      <c r="L158" s="115" t="s">
        <v>2778</v>
      </c>
      <c r="M158" s="115" t="s">
        <v>2740</v>
      </c>
      <c r="N158" s="115">
        <v>46000</v>
      </c>
      <c r="O158" s="112">
        <v>1</v>
      </c>
      <c r="P158" s="116" t="s">
        <v>2641</v>
      </c>
      <c r="Q158" s="112" t="str">
        <f t="shared" si="34"/>
        <v/>
      </c>
      <c r="R158" s="112" t="str">
        <f t="shared" si="35"/>
        <v/>
      </c>
      <c r="S158" s="112" t="str">
        <f t="shared" si="38"/>
        <v/>
      </c>
      <c r="T158" s="112" t="str">
        <f t="shared" si="39"/>
        <v/>
      </c>
      <c r="U158" s="112" t="str">
        <f t="shared" si="40"/>
        <v/>
      </c>
      <c r="V158" s="112" t="str">
        <f t="shared" si="41"/>
        <v/>
      </c>
      <c r="W158" s="112" t="str">
        <f t="shared" si="42"/>
        <v/>
      </c>
      <c r="X158" s="112" t="str">
        <f t="shared" si="36"/>
        <v/>
      </c>
      <c r="Y158" s="112" t="str">
        <f t="shared" si="37"/>
        <v/>
      </c>
      <c r="Z158" s="112" t="str">
        <f t="shared" si="43"/>
        <v/>
      </c>
      <c r="AA158" s="112" t="str">
        <f t="shared" si="44"/>
        <v/>
      </c>
      <c r="AB158" s="112" t="str">
        <f t="shared" si="45"/>
        <v/>
      </c>
      <c r="AC158" s="112" t="str">
        <f t="shared" si="46"/>
        <v/>
      </c>
      <c r="AD158" s="112" t="str">
        <f t="shared" si="47"/>
        <v/>
      </c>
    </row>
    <row r="159" spans="1:30" x14ac:dyDescent="0.2">
      <c r="A159" s="112">
        <f>IF(SUM(Q159:R159)=1,1+MAX($A$1:A158),"")</f>
        <v>10</v>
      </c>
      <c r="B159" s="112" t="str">
        <f>IF(SUM(X159:Y159)=1,1+MAX($B$1:B158),"")</f>
        <v/>
      </c>
      <c r="C159" s="112" t="str">
        <f>IF(SUM(Q159:R159,X159:Y159)=2,1+MAX($C$1:C158),"")</f>
        <v/>
      </c>
      <c r="D159" s="113">
        <v>38888</v>
      </c>
      <c r="E159" s="112">
        <v>2006</v>
      </c>
      <c r="F159" s="112" t="s">
        <v>2684</v>
      </c>
      <c r="G159" s="112" t="s">
        <v>2685</v>
      </c>
      <c r="H159" s="114" t="s">
        <v>2545</v>
      </c>
      <c r="I159" s="112">
        <f t="shared" si="32"/>
        <v>2</v>
      </c>
      <c r="J159" s="112">
        <f t="shared" si="33"/>
        <v>2</v>
      </c>
      <c r="K159" s="115" t="s">
        <v>2549</v>
      </c>
      <c r="L159" s="115" t="s">
        <v>2777</v>
      </c>
      <c r="M159" s="115" t="s">
        <v>2759</v>
      </c>
      <c r="N159" s="115">
        <v>45000</v>
      </c>
      <c r="O159" s="112">
        <v>1</v>
      </c>
      <c r="P159" s="116" t="s">
        <v>2697</v>
      </c>
      <c r="Q159" s="112">
        <f t="shared" si="34"/>
        <v>1</v>
      </c>
      <c r="R159" s="112" t="str">
        <f t="shared" si="35"/>
        <v/>
      </c>
      <c r="S159" s="112">
        <f t="shared" si="38"/>
        <v>0</v>
      </c>
      <c r="T159" s="112">
        <f t="shared" si="39"/>
        <v>1</v>
      </c>
      <c r="U159" s="112">
        <f t="shared" si="40"/>
        <v>0</v>
      </c>
      <c r="V159" s="112">
        <f t="shared" si="41"/>
        <v>4</v>
      </c>
      <c r="W159" s="112">
        <f t="shared" si="42"/>
        <v>0</v>
      </c>
      <c r="X159" s="112" t="str">
        <f t="shared" si="36"/>
        <v/>
      </c>
      <c r="Y159" s="112" t="str">
        <f t="shared" si="37"/>
        <v/>
      </c>
      <c r="Z159" s="112" t="str">
        <f t="shared" si="43"/>
        <v/>
      </c>
      <c r="AA159" s="112" t="str">
        <f t="shared" si="44"/>
        <v/>
      </c>
      <c r="AB159" s="112" t="str">
        <f t="shared" si="45"/>
        <v/>
      </c>
      <c r="AC159" s="112" t="str">
        <f t="shared" si="46"/>
        <v/>
      </c>
      <c r="AD159" s="112" t="str">
        <f t="shared" si="47"/>
        <v/>
      </c>
    </row>
    <row r="160" spans="1:30" x14ac:dyDescent="0.2">
      <c r="A160" s="112" t="str">
        <f>IF(SUM(Q160:R160)=1,1+MAX($A$1:A159),"")</f>
        <v/>
      </c>
      <c r="B160" s="112" t="str">
        <f>IF(SUM(X160:Y160)=1,1+MAX($B$1:B159),"")</f>
        <v/>
      </c>
      <c r="C160" s="112" t="str">
        <f>IF(SUM(Q160:R160,X160:Y160)=2,1+MAX($C$1:C159),"")</f>
        <v/>
      </c>
      <c r="D160" s="113">
        <v>38888</v>
      </c>
      <c r="E160" s="112">
        <v>2006</v>
      </c>
      <c r="F160" s="112" t="s">
        <v>2689</v>
      </c>
      <c r="G160" s="112" t="s">
        <v>2690</v>
      </c>
      <c r="H160" s="114" t="s">
        <v>2550</v>
      </c>
      <c r="I160" s="112">
        <f t="shared" si="32"/>
        <v>1</v>
      </c>
      <c r="J160" s="112">
        <f t="shared" si="33"/>
        <v>2</v>
      </c>
      <c r="K160" s="115" t="s">
        <v>2544</v>
      </c>
      <c r="L160" s="115" t="s">
        <v>2776</v>
      </c>
      <c r="M160" s="115" t="s">
        <v>2792</v>
      </c>
      <c r="N160" s="115">
        <v>43000</v>
      </c>
      <c r="O160" s="112">
        <v>2</v>
      </c>
      <c r="P160" s="116" t="s">
        <v>2638</v>
      </c>
      <c r="Q160" s="112" t="str">
        <f t="shared" si="34"/>
        <v/>
      </c>
      <c r="R160" s="112" t="str">
        <f t="shared" si="35"/>
        <v/>
      </c>
      <c r="S160" s="112" t="str">
        <f t="shared" si="38"/>
        <v/>
      </c>
      <c r="T160" s="112" t="str">
        <f t="shared" si="39"/>
        <v/>
      </c>
      <c r="U160" s="112" t="str">
        <f t="shared" si="40"/>
        <v/>
      </c>
      <c r="V160" s="112" t="str">
        <f t="shared" si="41"/>
        <v/>
      </c>
      <c r="W160" s="112" t="str">
        <f t="shared" si="42"/>
        <v/>
      </c>
      <c r="X160" s="112" t="str">
        <f t="shared" si="36"/>
        <v/>
      </c>
      <c r="Y160" s="112" t="str">
        <f t="shared" si="37"/>
        <v/>
      </c>
      <c r="Z160" s="112" t="str">
        <f t="shared" si="43"/>
        <v/>
      </c>
      <c r="AA160" s="112" t="str">
        <f t="shared" si="44"/>
        <v/>
      </c>
      <c r="AB160" s="112" t="str">
        <f t="shared" si="45"/>
        <v/>
      </c>
      <c r="AC160" s="112" t="str">
        <f t="shared" si="46"/>
        <v/>
      </c>
      <c r="AD160" s="112" t="str">
        <f t="shared" si="47"/>
        <v/>
      </c>
    </row>
    <row r="161" spans="1:30" x14ac:dyDescent="0.2">
      <c r="A161" s="112" t="str">
        <f>IF(SUM(Q161:R161)=1,1+MAX($A$1:A160),"")</f>
        <v/>
      </c>
      <c r="B161" s="112" t="str">
        <f>IF(SUM(X161:Y161)=1,1+MAX($B$1:B160),"")</f>
        <v/>
      </c>
      <c r="C161" s="112" t="str">
        <f>IF(SUM(Q161:R161,X161:Y161)=2,1+MAX($C$1:C160),"")</f>
        <v/>
      </c>
      <c r="D161" s="113">
        <v>38888</v>
      </c>
      <c r="E161" s="112">
        <v>2006</v>
      </c>
      <c r="F161" s="112" t="s">
        <v>2689</v>
      </c>
      <c r="G161" s="112" t="s">
        <v>2690</v>
      </c>
      <c r="H161" s="114" t="s">
        <v>2655</v>
      </c>
      <c r="I161" s="112">
        <f t="shared" si="32"/>
        <v>0</v>
      </c>
      <c r="J161" s="112">
        <f t="shared" si="33"/>
        <v>3</v>
      </c>
      <c r="K161" s="115" t="s">
        <v>2547</v>
      </c>
      <c r="L161" s="115" t="s">
        <v>2763</v>
      </c>
      <c r="M161" s="115" t="s">
        <v>2780</v>
      </c>
      <c r="N161" s="115">
        <v>72000</v>
      </c>
      <c r="O161" s="112">
        <v>1</v>
      </c>
      <c r="P161" s="116" t="s">
        <v>2607</v>
      </c>
      <c r="Q161" s="112" t="str">
        <f t="shared" si="34"/>
        <v/>
      </c>
      <c r="R161" s="112" t="str">
        <f t="shared" si="35"/>
        <v/>
      </c>
      <c r="S161" s="112" t="str">
        <f t="shared" si="38"/>
        <v/>
      </c>
      <c r="T161" s="112" t="str">
        <f t="shared" si="39"/>
        <v/>
      </c>
      <c r="U161" s="112" t="str">
        <f t="shared" si="40"/>
        <v/>
      </c>
      <c r="V161" s="112" t="str">
        <f t="shared" si="41"/>
        <v/>
      </c>
      <c r="W161" s="112" t="str">
        <f t="shared" si="42"/>
        <v/>
      </c>
      <c r="X161" s="112" t="str">
        <f t="shared" si="36"/>
        <v/>
      </c>
      <c r="Y161" s="112" t="str">
        <f t="shared" si="37"/>
        <v/>
      </c>
      <c r="Z161" s="112" t="str">
        <f t="shared" si="43"/>
        <v/>
      </c>
      <c r="AA161" s="112" t="str">
        <f t="shared" si="44"/>
        <v/>
      </c>
      <c r="AB161" s="112" t="str">
        <f t="shared" si="45"/>
        <v/>
      </c>
      <c r="AC161" s="112" t="str">
        <f t="shared" si="46"/>
        <v/>
      </c>
      <c r="AD161" s="112" t="str">
        <f t="shared" si="47"/>
        <v/>
      </c>
    </row>
    <row r="162" spans="1:30" x14ac:dyDescent="0.2">
      <c r="A162" s="112" t="str">
        <f>IF(SUM(Q162:R162)=1,1+MAX($A$1:A161),"")</f>
        <v/>
      </c>
      <c r="B162" s="112" t="str">
        <f>IF(SUM(X162:Y162)=1,1+MAX($B$1:B161),"")</f>
        <v/>
      </c>
      <c r="C162" s="112" t="str">
        <f>IF(SUM(Q162:R162,X162:Y162)=2,1+MAX($C$1:C161),"")</f>
        <v/>
      </c>
      <c r="D162" s="113">
        <v>38887</v>
      </c>
      <c r="E162" s="112">
        <v>2006</v>
      </c>
      <c r="F162" s="112" t="s">
        <v>2652</v>
      </c>
      <c r="G162" s="112" t="s">
        <v>2653</v>
      </c>
      <c r="H162" s="114" t="s">
        <v>2557</v>
      </c>
      <c r="I162" s="112">
        <f t="shared" si="32"/>
        <v>3</v>
      </c>
      <c r="J162" s="112">
        <f t="shared" si="33"/>
        <v>1</v>
      </c>
      <c r="K162" s="115" t="s">
        <v>2388</v>
      </c>
      <c r="L162" s="115" t="s">
        <v>2765</v>
      </c>
      <c r="M162" s="115" t="s">
        <v>2751</v>
      </c>
      <c r="N162" s="115">
        <v>52000</v>
      </c>
      <c r="O162" s="112">
        <v>1</v>
      </c>
      <c r="P162" s="116" t="s">
        <v>2663</v>
      </c>
      <c r="Q162" s="112" t="str">
        <f t="shared" si="34"/>
        <v/>
      </c>
      <c r="R162" s="112" t="str">
        <f t="shared" si="35"/>
        <v/>
      </c>
      <c r="S162" s="112" t="str">
        <f t="shared" si="38"/>
        <v/>
      </c>
      <c r="T162" s="112" t="str">
        <f t="shared" si="39"/>
        <v/>
      </c>
      <c r="U162" s="112" t="str">
        <f t="shared" si="40"/>
        <v/>
      </c>
      <c r="V162" s="112" t="str">
        <f t="shared" si="41"/>
        <v/>
      </c>
      <c r="W162" s="112" t="str">
        <f t="shared" si="42"/>
        <v/>
      </c>
      <c r="X162" s="112" t="str">
        <f t="shared" si="36"/>
        <v/>
      </c>
      <c r="Y162" s="112" t="str">
        <f t="shared" si="37"/>
        <v/>
      </c>
      <c r="Z162" s="112" t="str">
        <f t="shared" si="43"/>
        <v/>
      </c>
      <c r="AA162" s="112" t="str">
        <f t="shared" si="44"/>
        <v/>
      </c>
      <c r="AB162" s="112" t="str">
        <f t="shared" si="45"/>
        <v/>
      </c>
      <c r="AC162" s="112" t="str">
        <f t="shared" si="46"/>
        <v/>
      </c>
      <c r="AD162" s="112" t="str">
        <f t="shared" si="47"/>
        <v/>
      </c>
    </row>
    <row r="163" spans="1:30" x14ac:dyDescent="0.2">
      <c r="A163" s="112" t="str">
        <f>IF(SUM(Q163:R163)=1,1+MAX($A$1:A162),"")</f>
        <v/>
      </c>
      <c r="B163" s="112" t="str">
        <f>IF(SUM(X163:Y163)=1,1+MAX($B$1:B162),"")</f>
        <v/>
      </c>
      <c r="C163" s="112" t="str">
        <f>IF(SUM(Q163:R163,X163:Y163)=2,1+MAX($C$1:C162),"")</f>
        <v/>
      </c>
      <c r="D163" s="113">
        <v>38887</v>
      </c>
      <c r="E163" s="112">
        <v>2006</v>
      </c>
      <c r="F163" s="112" t="s">
        <v>2652</v>
      </c>
      <c r="G163" s="112" t="s">
        <v>2653</v>
      </c>
      <c r="H163" s="114" t="s">
        <v>2559</v>
      </c>
      <c r="I163" s="112">
        <f t="shared" si="32"/>
        <v>0</v>
      </c>
      <c r="J163" s="112">
        <f t="shared" si="33"/>
        <v>4</v>
      </c>
      <c r="K163" s="115" t="s">
        <v>2773</v>
      </c>
      <c r="L163" s="115" t="s">
        <v>2774</v>
      </c>
      <c r="M163" s="115" t="s">
        <v>2784</v>
      </c>
      <c r="N163" s="115">
        <v>50000</v>
      </c>
      <c r="O163" s="112">
        <v>1</v>
      </c>
      <c r="P163" s="116" t="s">
        <v>2708</v>
      </c>
      <c r="Q163" s="112" t="str">
        <f t="shared" si="34"/>
        <v/>
      </c>
      <c r="R163" s="112" t="str">
        <f t="shared" si="35"/>
        <v/>
      </c>
      <c r="S163" s="112" t="str">
        <f t="shared" si="38"/>
        <v/>
      </c>
      <c r="T163" s="112" t="str">
        <f t="shared" si="39"/>
        <v/>
      </c>
      <c r="U163" s="112" t="str">
        <f t="shared" si="40"/>
        <v/>
      </c>
      <c r="V163" s="112" t="str">
        <f t="shared" si="41"/>
        <v/>
      </c>
      <c r="W163" s="112" t="str">
        <f t="shared" si="42"/>
        <v/>
      </c>
      <c r="X163" s="112" t="str">
        <f t="shared" si="36"/>
        <v/>
      </c>
      <c r="Y163" s="112" t="str">
        <f t="shared" si="37"/>
        <v/>
      </c>
      <c r="Z163" s="112" t="str">
        <f t="shared" si="43"/>
        <v/>
      </c>
      <c r="AA163" s="112" t="str">
        <f t="shared" si="44"/>
        <v/>
      </c>
      <c r="AB163" s="112" t="str">
        <f t="shared" si="45"/>
        <v/>
      </c>
      <c r="AC163" s="112" t="str">
        <f t="shared" si="46"/>
        <v/>
      </c>
      <c r="AD163" s="112" t="str">
        <f t="shared" si="47"/>
        <v/>
      </c>
    </row>
    <row r="164" spans="1:30" x14ac:dyDescent="0.2">
      <c r="A164" s="112" t="str">
        <f>IF(SUM(Q164:R164)=1,1+MAX($A$1:A163),"")</f>
        <v/>
      </c>
      <c r="B164" s="112" t="str">
        <f>IF(SUM(X164:Y164)=1,1+MAX($B$1:B163),"")</f>
        <v/>
      </c>
      <c r="C164" s="112" t="str">
        <f>IF(SUM(Q164:R164,X164:Y164)=2,1+MAX($C$1:C163),"")</f>
        <v/>
      </c>
      <c r="D164" s="113">
        <v>38887</v>
      </c>
      <c r="E164" s="112">
        <v>2006</v>
      </c>
      <c r="F164" s="112" t="s">
        <v>2656</v>
      </c>
      <c r="G164" s="112" t="s">
        <v>2657</v>
      </c>
      <c r="H164" s="114" t="s">
        <v>2558</v>
      </c>
      <c r="I164" s="112">
        <f t="shared" si="32"/>
        <v>2</v>
      </c>
      <c r="J164" s="112">
        <f t="shared" si="33"/>
        <v>0</v>
      </c>
      <c r="K164" s="115" t="s">
        <v>2783</v>
      </c>
      <c r="L164" s="115" t="s">
        <v>2785</v>
      </c>
      <c r="M164" s="115" t="s">
        <v>2782</v>
      </c>
      <c r="N164" s="115">
        <v>65000</v>
      </c>
      <c r="O164" s="112">
        <v>1</v>
      </c>
      <c r="P164" s="116" t="s">
        <v>2641</v>
      </c>
      <c r="Q164" s="112" t="str">
        <f t="shared" si="34"/>
        <v/>
      </c>
      <c r="R164" s="112" t="str">
        <f t="shared" si="35"/>
        <v/>
      </c>
      <c r="S164" s="112" t="str">
        <f t="shared" si="38"/>
        <v/>
      </c>
      <c r="T164" s="112" t="str">
        <f t="shared" si="39"/>
        <v/>
      </c>
      <c r="U164" s="112" t="str">
        <f t="shared" si="40"/>
        <v/>
      </c>
      <c r="V164" s="112" t="str">
        <f t="shared" si="41"/>
        <v/>
      </c>
      <c r="W164" s="112" t="str">
        <f t="shared" si="42"/>
        <v/>
      </c>
      <c r="X164" s="112" t="str">
        <f t="shared" si="36"/>
        <v/>
      </c>
      <c r="Y164" s="112" t="str">
        <f t="shared" si="37"/>
        <v/>
      </c>
      <c r="Z164" s="112" t="str">
        <f t="shared" si="43"/>
        <v/>
      </c>
      <c r="AA164" s="112" t="str">
        <f t="shared" si="44"/>
        <v/>
      </c>
      <c r="AB164" s="112" t="str">
        <f t="shared" si="45"/>
        <v/>
      </c>
      <c r="AC164" s="112" t="str">
        <f t="shared" si="46"/>
        <v/>
      </c>
      <c r="AD164" s="112" t="str">
        <f t="shared" si="47"/>
        <v/>
      </c>
    </row>
    <row r="165" spans="1:30" x14ac:dyDescent="0.2">
      <c r="A165" s="112" t="str">
        <f>IF(SUM(Q165:R165)=1,1+MAX($A$1:A164),"")</f>
        <v/>
      </c>
      <c r="B165" s="112" t="str">
        <f>IF(SUM(X165:Y165)=1,1+MAX($B$1:B164),"")</f>
        <v/>
      </c>
      <c r="C165" s="112" t="str">
        <f>IF(SUM(Q165:R165,X165:Y165)=2,1+MAX($C$1:C164),"")</f>
        <v/>
      </c>
      <c r="D165" s="113">
        <v>38886</v>
      </c>
      <c r="E165" s="112">
        <v>2006</v>
      </c>
      <c r="F165" s="112" t="s">
        <v>2656</v>
      </c>
      <c r="G165" s="112" t="s">
        <v>2657</v>
      </c>
      <c r="H165" s="114" t="s">
        <v>2541</v>
      </c>
      <c r="I165" s="112">
        <f t="shared" si="32"/>
        <v>1</v>
      </c>
      <c r="J165" s="112">
        <f t="shared" si="33"/>
        <v>1</v>
      </c>
      <c r="K165" s="115" t="s">
        <v>2543</v>
      </c>
      <c r="L165" s="115" t="s">
        <v>2781</v>
      </c>
      <c r="M165" s="115" t="s">
        <v>2724</v>
      </c>
      <c r="N165" s="115">
        <v>43000</v>
      </c>
      <c r="O165" s="112">
        <v>1</v>
      </c>
      <c r="P165" s="116" t="s">
        <v>2645</v>
      </c>
      <c r="Q165" s="112" t="str">
        <f t="shared" si="34"/>
        <v/>
      </c>
      <c r="R165" s="112" t="str">
        <f t="shared" si="35"/>
        <v/>
      </c>
      <c r="S165" s="112" t="str">
        <f t="shared" si="38"/>
        <v/>
      </c>
      <c r="T165" s="112" t="str">
        <f t="shared" si="39"/>
        <v/>
      </c>
      <c r="U165" s="112" t="str">
        <f t="shared" si="40"/>
        <v/>
      </c>
      <c r="V165" s="112" t="str">
        <f t="shared" si="41"/>
        <v/>
      </c>
      <c r="W165" s="112" t="str">
        <f t="shared" si="42"/>
        <v/>
      </c>
      <c r="X165" s="112" t="str">
        <f t="shared" si="36"/>
        <v/>
      </c>
      <c r="Y165" s="112" t="str">
        <f t="shared" si="37"/>
        <v/>
      </c>
      <c r="Z165" s="112" t="str">
        <f t="shared" si="43"/>
        <v/>
      </c>
      <c r="AA165" s="112" t="str">
        <f t="shared" si="44"/>
        <v/>
      </c>
      <c r="AB165" s="112" t="str">
        <f t="shared" si="45"/>
        <v/>
      </c>
      <c r="AC165" s="112" t="str">
        <f t="shared" si="46"/>
        <v/>
      </c>
      <c r="AD165" s="112" t="str">
        <f t="shared" si="47"/>
        <v/>
      </c>
    </row>
    <row r="166" spans="1:30" x14ac:dyDescent="0.2">
      <c r="A166" s="112" t="str">
        <f>IF(SUM(Q166:R166)=1,1+MAX($A$1:A165),"")</f>
        <v/>
      </c>
      <c r="B166" s="112" t="str">
        <f>IF(SUM(X166:Y166)=1,1+MAX($B$1:B165),"")</f>
        <v/>
      </c>
      <c r="C166" s="112" t="str">
        <f>IF(SUM(Q166:R166,X166:Y166)=2,1+MAX($C$1:C165),"")</f>
        <v/>
      </c>
      <c r="D166" s="113">
        <v>38886</v>
      </c>
      <c r="E166" s="112">
        <v>2006</v>
      </c>
      <c r="F166" s="112" t="s">
        <v>2661</v>
      </c>
      <c r="G166" s="112" t="s">
        <v>2662</v>
      </c>
      <c r="H166" s="114" t="s">
        <v>1317</v>
      </c>
      <c r="I166" s="112">
        <f t="shared" si="32"/>
        <v>0</v>
      </c>
      <c r="J166" s="112">
        <f t="shared" si="33"/>
        <v>2</v>
      </c>
      <c r="K166" s="115" t="s">
        <v>1442</v>
      </c>
      <c r="L166" s="115" t="s">
        <v>2767</v>
      </c>
      <c r="M166" s="115" t="s">
        <v>2787</v>
      </c>
      <c r="N166" s="115">
        <v>66000</v>
      </c>
      <c r="O166" s="112">
        <v>1</v>
      </c>
      <c r="P166" s="116" t="s">
        <v>2687</v>
      </c>
      <c r="Q166" s="112" t="str">
        <f t="shared" si="34"/>
        <v/>
      </c>
      <c r="R166" s="112" t="str">
        <f t="shared" si="35"/>
        <v/>
      </c>
      <c r="S166" s="112" t="str">
        <f t="shared" si="38"/>
        <v/>
      </c>
      <c r="T166" s="112" t="str">
        <f t="shared" si="39"/>
        <v/>
      </c>
      <c r="U166" s="112" t="str">
        <f t="shared" si="40"/>
        <v/>
      </c>
      <c r="V166" s="112" t="str">
        <f t="shared" si="41"/>
        <v/>
      </c>
      <c r="W166" s="112" t="str">
        <f t="shared" si="42"/>
        <v/>
      </c>
      <c r="X166" s="112" t="str">
        <f t="shared" si="36"/>
        <v/>
      </c>
      <c r="Y166" s="112" t="str">
        <f t="shared" si="37"/>
        <v/>
      </c>
      <c r="Z166" s="112" t="str">
        <f t="shared" si="43"/>
        <v/>
      </c>
      <c r="AA166" s="112" t="str">
        <f t="shared" si="44"/>
        <v/>
      </c>
      <c r="AB166" s="112" t="str">
        <f t="shared" si="45"/>
        <v/>
      </c>
      <c r="AC166" s="112" t="str">
        <f t="shared" si="46"/>
        <v/>
      </c>
      <c r="AD166" s="112" t="str">
        <f t="shared" si="47"/>
        <v/>
      </c>
    </row>
    <row r="167" spans="1:30" x14ac:dyDescent="0.2">
      <c r="A167" s="112" t="str">
        <f>IF(SUM(Q167:R167)=1,1+MAX($A$1:A166),"")</f>
        <v/>
      </c>
      <c r="B167" s="112" t="str">
        <f>IF(SUM(X167:Y167)=1,1+MAX($B$1:B166),"")</f>
        <v/>
      </c>
      <c r="C167" s="112" t="str">
        <f>IF(SUM(Q167:R167,X167:Y167)=2,1+MAX($C$1:C166),"")</f>
        <v/>
      </c>
      <c r="D167" s="113">
        <v>38886</v>
      </c>
      <c r="E167" s="112">
        <v>2006</v>
      </c>
      <c r="F167" s="112" t="s">
        <v>2661</v>
      </c>
      <c r="G167" s="112" t="s">
        <v>2662</v>
      </c>
      <c r="H167" s="114" t="s">
        <v>1024</v>
      </c>
      <c r="I167" s="112">
        <f t="shared" si="32"/>
        <v>0</v>
      </c>
      <c r="J167" s="112">
        <f t="shared" si="33"/>
        <v>0</v>
      </c>
      <c r="K167" s="115" t="s">
        <v>1395</v>
      </c>
      <c r="L167" s="115" t="s">
        <v>2779</v>
      </c>
      <c r="M167" s="115" t="s">
        <v>2737</v>
      </c>
      <c r="N167" s="115">
        <v>41000</v>
      </c>
      <c r="O167" s="112">
        <v>1</v>
      </c>
      <c r="P167" s="116" t="s">
        <v>2613</v>
      </c>
      <c r="Q167" s="112" t="str">
        <f t="shared" si="34"/>
        <v/>
      </c>
      <c r="R167" s="112" t="str">
        <f t="shared" si="35"/>
        <v/>
      </c>
      <c r="S167" s="112" t="str">
        <f t="shared" si="38"/>
        <v/>
      </c>
      <c r="T167" s="112" t="str">
        <f t="shared" si="39"/>
        <v/>
      </c>
      <c r="U167" s="112" t="str">
        <f t="shared" si="40"/>
        <v/>
      </c>
      <c r="V167" s="112" t="str">
        <f t="shared" si="41"/>
        <v/>
      </c>
      <c r="W167" s="112" t="str">
        <f t="shared" si="42"/>
        <v/>
      </c>
      <c r="X167" s="112" t="str">
        <f t="shared" si="36"/>
        <v/>
      </c>
      <c r="Y167" s="112" t="str">
        <f t="shared" si="37"/>
        <v/>
      </c>
      <c r="Z167" s="112" t="str">
        <f t="shared" si="43"/>
        <v/>
      </c>
      <c r="AA167" s="112" t="str">
        <f t="shared" si="44"/>
        <v/>
      </c>
      <c r="AB167" s="112" t="str">
        <f t="shared" si="45"/>
        <v/>
      </c>
      <c r="AC167" s="112" t="str">
        <f t="shared" si="46"/>
        <v/>
      </c>
      <c r="AD167" s="112" t="str">
        <f t="shared" si="47"/>
        <v/>
      </c>
    </row>
    <row r="168" spans="1:30" x14ac:dyDescent="0.2">
      <c r="A168" s="112" t="str">
        <f>IF(SUM(Q168:R168)=1,1+MAX($A$1:A167),"")</f>
        <v/>
      </c>
      <c r="B168" s="112" t="str">
        <f>IF(SUM(X168:Y168)=1,1+MAX($B$1:B167),"")</f>
        <v/>
      </c>
      <c r="C168" s="112" t="str">
        <f>IF(SUM(Q168:R168,X168:Y168)=2,1+MAX($C$1:C167),"")</f>
        <v/>
      </c>
      <c r="D168" s="113">
        <v>38885</v>
      </c>
      <c r="E168" s="112">
        <v>2006</v>
      </c>
      <c r="F168" s="112" t="s">
        <v>2666</v>
      </c>
      <c r="G168" s="112" t="s">
        <v>2667</v>
      </c>
      <c r="H168" s="114" t="s">
        <v>2674</v>
      </c>
      <c r="I168" s="112">
        <f t="shared" si="32"/>
        <v>1</v>
      </c>
      <c r="J168" s="112">
        <f t="shared" si="33"/>
        <v>1</v>
      </c>
      <c r="K168" s="115" t="s">
        <v>2614</v>
      </c>
      <c r="L168" s="115" t="s">
        <v>2778</v>
      </c>
      <c r="M168" s="115" t="s">
        <v>2742</v>
      </c>
      <c r="N168" s="115">
        <v>46000</v>
      </c>
      <c r="O168" s="112">
        <v>3</v>
      </c>
      <c r="P168" s="116" t="s">
        <v>2645</v>
      </c>
      <c r="Q168" s="112" t="str">
        <f t="shared" si="34"/>
        <v/>
      </c>
      <c r="R168" s="112" t="str">
        <f t="shared" si="35"/>
        <v/>
      </c>
      <c r="S168" s="112" t="str">
        <f t="shared" si="38"/>
        <v/>
      </c>
      <c r="T168" s="112" t="str">
        <f t="shared" si="39"/>
        <v/>
      </c>
      <c r="U168" s="112" t="str">
        <f t="shared" si="40"/>
        <v/>
      </c>
      <c r="V168" s="112" t="str">
        <f t="shared" si="41"/>
        <v/>
      </c>
      <c r="W168" s="112" t="str">
        <f t="shared" si="42"/>
        <v/>
      </c>
      <c r="X168" s="112" t="str">
        <f t="shared" si="36"/>
        <v/>
      </c>
      <c r="Y168" s="112" t="str">
        <f t="shared" si="37"/>
        <v/>
      </c>
      <c r="Z168" s="112" t="str">
        <f t="shared" si="43"/>
        <v/>
      </c>
      <c r="AA168" s="112" t="str">
        <f t="shared" si="44"/>
        <v/>
      </c>
      <c r="AB168" s="112" t="str">
        <f t="shared" si="45"/>
        <v/>
      </c>
      <c r="AC168" s="112" t="str">
        <f t="shared" si="46"/>
        <v/>
      </c>
      <c r="AD168" s="112" t="str">
        <f t="shared" si="47"/>
        <v/>
      </c>
    </row>
    <row r="169" spans="1:30" x14ac:dyDescent="0.2">
      <c r="A169" s="112" t="str">
        <f>IF(SUM(Q169:R169)=1,1+MAX($A$1:A168),"")</f>
        <v/>
      </c>
      <c r="B169" s="112" t="str">
        <f>IF(SUM(X169:Y169)=1,1+MAX($B$1:B168),"")</f>
        <v/>
      </c>
      <c r="C169" s="112" t="str">
        <f>IF(SUM(Q169:R169,X169:Y169)=2,1+MAX($C$1:C168),"")</f>
        <v/>
      </c>
      <c r="D169" s="113">
        <v>38885</v>
      </c>
      <c r="E169" s="112">
        <v>2006</v>
      </c>
      <c r="F169" s="112" t="s">
        <v>2666</v>
      </c>
      <c r="G169" s="112" t="s">
        <v>2667</v>
      </c>
      <c r="H169" s="114" t="s">
        <v>2646</v>
      </c>
      <c r="I169" s="112">
        <f t="shared" si="32"/>
        <v>0</v>
      </c>
      <c r="J169" s="112">
        <f t="shared" si="33"/>
        <v>2</v>
      </c>
      <c r="K169" s="115" t="s">
        <v>2658</v>
      </c>
      <c r="L169" s="115" t="s">
        <v>2777</v>
      </c>
      <c r="N169" s="115">
        <v>45000</v>
      </c>
      <c r="O169" s="112">
        <v>1</v>
      </c>
      <c r="P169" s="116" t="s">
        <v>2687</v>
      </c>
      <c r="Q169" s="112" t="str">
        <f t="shared" si="34"/>
        <v/>
      </c>
      <c r="R169" s="112" t="str">
        <f t="shared" si="35"/>
        <v/>
      </c>
      <c r="S169" s="112" t="str">
        <f t="shared" si="38"/>
        <v/>
      </c>
      <c r="T169" s="112" t="str">
        <f t="shared" si="39"/>
        <v/>
      </c>
      <c r="U169" s="112" t="str">
        <f t="shared" si="40"/>
        <v/>
      </c>
      <c r="V169" s="112" t="str">
        <f t="shared" si="41"/>
        <v/>
      </c>
      <c r="W169" s="112" t="str">
        <f t="shared" si="42"/>
        <v/>
      </c>
      <c r="X169" s="112" t="str">
        <f t="shared" si="36"/>
        <v/>
      </c>
      <c r="Y169" s="112" t="str">
        <f t="shared" si="37"/>
        <v/>
      </c>
      <c r="Z169" s="112" t="str">
        <f t="shared" si="43"/>
        <v/>
      </c>
      <c r="AA169" s="112" t="str">
        <f t="shared" si="44"/>
        <v/>
      </c>
      <c r="AB169" s="112" t="str">
        <f t="shared" si="45"/>
        <v/>
      </c>
      <c r="AC169" s="112" t="str">
        <f t="shared" si="46"/>
        <v/>
      </c>
      <c r="AD169" s="112" t="str">
        <f t="shared" si="47"/>
        <v/>
      </c>
    </row>
    <row r="170" spans="1:30" x14ac:dyDescent="0.2">
      <c r="A170" s="112" t="str">
        <f>IF(SUM(Q170:R170)=1,1+MAX($A$1:A169),"")</f>
        <v/>
      </c>
      <c r="B170" s="112" t="str">
        <f>IF(SUM(X170:Y170)=1,1+MAX($B$1:B169),"")</f>
        <v/>
      </c>
      <c r="C170" s="112" t="str">
        <f>IF(SUM(Q170:R170,X170:Y170)=2,1+MAX($C$1:C169),"")</f>
        <v/>
      </c>
      <c r="D170" s="113">
        <v>38885</v>
      </c>
      <c r="E170" s="112">
        <v>2006</v>
      </c>
      <c r="F170" s="112" t="s">
        <v>2672</v>
      </c>
      <c r="G170" s="112" t="s">
        <v>2673</v>
      </c>
      <c r="H170" s="114" t="s">
        <v>2553</v>
      </c>
      <c r="I170" s="112">
        <f t="shared" si="32"/>
        <v>0</v>
      </c>
      <c r="J170" s="112">
        <f t="shared" si="33"/>
        <v>2</v>
      </c>
      <c r="K170" s="115" t="s">
        <v>2556</v>
      </c>
      <c r="L170" s="115" t="s">
        <v>2769</v>
      </c>
      <c r="M170" s="115" t="s">
        <v>2786</v>
      </c>
      <c r="N170" s="115">
        <v>48000</v>
      </c>
      <c r="O170" s="112">
        <v>1</v>
      </c>
      <c r="P170" s="116" t="s">
        <v>2687</v>
      </c>
      <c r="Q170" s="112" t="str">
        <f t="shared" si="34"/>
        <v/>
      </c>
      <c r="R170" s="112" t="str">
        <f t="shared" si="35"/>
        <v/>
      </c>
      <c r="S170" s="112" t="str">
        <f t="shared" si="38"/>
        <v/>
      </c>
      <c r="T170" s="112" t="str">
        <f t="shared" si="39"/>
        <v/>
      </c>
      <c r="U170" s="112" t="str">
        <f t="shared" si="40"/>
        <v/>
      </c>
      <c r="V170" s="112" t="str">
        <f t="shared" si="41"/>
        <v/>
      </c>
      <c r="W170" s="112" t="str">
        <f t="shared" si="42"/>
        <v/>
      </c>
      <c r="X170" s="112" t="str">
        <f t="shared" si="36"/>
        <v/>
      </c>
      <c r="Y170" s="112" t="str">
        <f t="shared" si="37"/>
        <v/>
      </c>
      <c r="Z170" s="112" t="str">
        <f t="shared" si="43"/>
        <v/>
      </c>
      <c r="AA170" s="112" t="str">
        <f t="shared" si="44"/>
        <v/>
      </c>
      <c r="AB170" s="112" t="str">
        <f t="shared" si="45"/>
        <v/>
      </c>
      <c r="AC170" s="112" t="str">
        <f t="shared" si="46"/>
        <v/>
      </c>
      <c r="AD170" s="112" t="str">
        <f t="shared" si="47"/>
        <v/>
      </c>
    </row>
    <row r="171" spans="1:30" x14ac:dyDescent="0.2">
      <c r="A171" s="112" t="str">
        <f>IF(SUM(Q171:R171)=1,1+MAX($A$1:A170),"")</f>
        <v/>
      </c>
      <c r="B171" s="112" t="str">
        <f>IF(SUM(X171:Y171)=1,1+MAX($B$1:B170),"")</f>
        <v/>
      </c>
      <c r="C171" s="112" t="str">
        <f>IF(SUM(Q171:R171,X171:Y171)=2,1+MAX($C$1:C170),"")</f>
        <v/>
      </c>
      <c r="D171" s="113">
        <v>38884</v>
      </c>
      <c r="E171" s="112">
        <v>2006</v>
      </c>
      <c r="F171" s="112" t="s">
        <v>2672</v>
      </c>
      <c r="G171" s="112" t="s">
        <v>2673</v>
      </c>
      <c r="H171" s="114" t="s">
        <v>2608</v>
      </c>
      <c r="I171" s="112">
        <f t="shared" si="32"/>
        <v>0</v>
      </c>
      <c r="J171" s="112">
        <f t="shared" si="33"/>
        <v>0</v>
      </c>
      <c r="K171" s="115" t="s">
        <v>1061</v>
      </c>
      <c r="L171" s="115" t="s">
        <v>2776</v>
      </c>
      <c r="M171" s="115" t="s">
        <v>2792</v>
      </c>
      <c r="N171" s="115">
        <v>43000</v>
      </c>
      <c r="O171" s="112">
        <v>1</v>
      </c>
      <c r="P171" s="116" t="s">
        <v>2613</v>
      </c>
      <c r="Q171" s="112" t="str">
        <f t="shared" si="34"/>
        <v/>
      </c>
      <c r="R171" s="112" t="str">
        <f t="shared" si="35"/>
        <v/>
      </c>
      <c r="S171" s="112" t="str">
        <f t="shared" si="38"/>
        <v/>
      </c>
      <c r="T171" s="112" t="str">
        <f t="shared" si="39"/>
        <v/>
      </c>
      <c r="U171" s="112" t="str">
        <f t="shared" si="40"/>
        <v/>
      </c>
      <c r="V171" s="112" t="str">
        <f t="shared" si="41"/>
        <v/>
      </c>
      <c r="W171" s="112" t="str">
        <f t="shared" si="42"/>
        <v/>
      </c>
      <c r="X171" s="112" t="str">
        <f t="shared" si="36"/>
        <v/>
      </c>
      <c r="Y171" s="112" t="str">
        <f t="shared" si="37"/>
        <v/>
      </c>
      <c r="Z171" s="112" t="str">
        <f t="shared" si="43"/>
        <v/>
      </c>
      <c r="AA171" s="112" t="str">
        <f t="shared" si="44"/>
        <v/>
      </c>
      <c r="AB171" s="112" t="str">
        <f t="shared" si="45"/>
        <v/>
      </c>
      <c r="AC171" s="112" t="str">
        <f t="shared" si="46"/>
        <v/>
      </c>
      <c r="AD171" s="112" t="str">
        <f t="shared" si="47"/>
        <v/>
      </c>
    </row>
    <row r="172" spans="1:30" x14ac:dyDescent="0.2">
      <c r="A172" s="112" t="str">
        <f>IF(SUM(Q172:R172)=1,1+MAX($A$1:A171),"")</f>
        <v/>
      </c>
      <c r="B172" s="112" t="str">
        <f>IF(SUM(X172:Y172)=1,1+MAX($B$1:B171),"")</f>
        <v/>
      </c>
      <c r="C172" s="112" t="str">
        <f>IF(SUM(Q172:R172,X172:Y172)=2,1+MAX($C$1:C171),"")</f>
        <v/>
      </c>
      <c r="D172" s="113">
        <v>38884</v>
      </c>
      <c r="E172" s="112">
        <v>2006</v>
      </c>
      <c r="F172" s="112" t="s">
        <v>2677</v>
      </c>
      <c r="G172" s="112" t="s">
        <v>2678</v>
      </c>
      <c r="H172" s="114" t="s">
        <v>2679</v>
      </c>
      <c r="I172" s="112">
        <f t="shared" si="32"/>
        <v>1</v>
      </c>
      <c r="J172" s="112">
        <f t="shared" si="33"/>
        <v>2</v>
      </c>
      <c r="K172" s="115" t="s">
        <v>2604</v>
      </c>
      <c r="L172" s="115" t="s">
        <v>2765</v>
      </c>
      <c r="M172" s="115" t="s">
        <v>2752</v>
      </c>
      <c r="N172" s="115">
        <v>52000</v>
      </c>
      <c r="O172" s="112">
        <v>1</v>
      </c>
      <c r="P172" s="116" t="s">
        <v>2638</v>
      </c>
      <c r="Q172" s="112" t="str">
        <f t="shared" si="34"/>
        <v/>
      </c>
      <c r="R172" s="112" t="str">
        <f t="shared" si="35"/>
        <v/>
      </c>
      <c r="S172" s="112" t="str">
        <f t="shared" si="38"/>
        <v/>
      </c>
      <c r="T172" s="112" t="str">
        <f t="shared" si="39"/>
        <v/>
      </c>
      <c r="U172" s="112" t="str">
        <f t="shared" si="40"/>
        <v/>
      </c>
      <c r="V172" s="112" t="str">
        <f t="shared" si="41"/>
        <v/>
      </c>
      <c r="W172" s="112" t="str">
        <f t="shared" si="42"/>
        <v/>
      </c>
      <c r="X172" s="112" t="str">
        <f t="shared" si="36"/>
        <v/>
      </c>
      <c r="Y172" s="112" t="str">
        <f t="shared" si="37"/>
        <v/>
      </c>
      <c r="Z172" s="112" t="str">
        <f t="shared" si="43"/>
        <v/>
      </c>
      <c r="AA172" s="112" t="str">
        <f t="shared" si="44"/>
        <v/>
      </c>
      <c r="AB172" s="112" t="str">
        <f t="shared" si="45"/>
        <v/>
      </c>
      <c r="AC172" s="112" t="str">
        <f t="shared" si="46"/>
        <v/>
      </c>
      <c r="AD172" s="112" t="str">
        <f t="shared" si="47"/>
        <v/>
      </c>
    </row>
    <row r="173" spans="1:30" x14ac:dyDescent="0.2">
      <c r="A173" s="112" t="str">
        <f>IF(SUM(Q173:R173)=1,1+MAX($A$1:A172),"")</f>
        <v/>
      </c>
      <c r="B173" s="112">
        <f>IF(SUM(X173:Y173)=1,1+MAX($B$1:B172),"")</f>
        <v>16</v>
      </c>
      <c r="C173" s="112" t="str">
        <f>IF(SUM(Q173:R173,X173:Y173)=2,1+MAX($C$1:C172),"")</f>
        <v/>
      </c>
      <c r="D173" s="113">
        <v>38884</v>
      </c>
      <c r="E173" s="112">
        <v>2006</v>
      </c>
      <c r="F173" s="112" t="s">
        <v>2677</v>
      </c>
      <c r="G173" s="112" t="s">
        <v>2678</v>
      </c>
      <c r="H173" s="114" t="s">
        <v>1134</v>
      </c>
      <c r="I173" s="112">
        <f t="shared" si="32"/>
        <v>6</v>
      </c>
      <c r="J173" s="112">
        <f t="shared" si="33"/>
        <v>0</v>
      </c>
      <c r="K173" s="115" t="s">
        <v>2790</v>
      </c>
      <c r="L173" s="115" t="s">
        <v>2771</v>
      </c>
      <c r="M173" s="115" t="s">
        <v>2740</v>
      </c>
      <c r="N173" s="115">
        <v>52000</v>
      </c>
      <c r="O173" s="112">
        <v>1</v>
      </c>
      <c r="P173" s="116" t="s">
        <v>2793</v>
      </c>
      <c r="Q173" s="112" t="str">
        <f t="shared" si="34"/>
        <v/>
      </c>
      <c r="R173" s="112" t="str">
        <f t="shared" si="35"/>
        <v/>
      </c>
      <c r="S173" s="112" t="str">
        <f t="shared" si="38"/>
        <v/>
      </c>
      <c r="T173" s="112" t="str">
        <f t="shared" si="39"/>
        <v/>
      </c>
      <c r="U173" s="112" t="str">
        <f t="shared" si="40"/>
        <v/>
      </c>
      <c r="V173" s="112" t="str">
        <f t="shared" si="41"/>
        <v/>
      </c>
      <c r="W173" s="112" t="str">
        <f t="shared" si="42"/>
        <v/>
      </c>
      <c r="X173" s="112">
        <f t="shared" si="36"/>
        <v>1</v>
      </c>
      <c r="Y173" s="112" t="str">
        <f t="shared" si="37"/>
        <v/>
      </c>
      <c r="Z173" s="112">
        <f t="shared" si="43"/>
        <v>1</v>
      </c>
      <c r="AA173" s="112">
        <f t="shared" si="44"/>
        <v>0</v>
      </c>
      <c r="AB173" s="112">
        <f t="shared" si="45"/>
        <v>0</v>
      </c>
      <c r="AC173" s="112">
        <f t="shared" si="46"/>
        <v>6</v>
      </c>
      <c r="AD173" s="112">
        <f t="shared" si="47"/>
        <v>6</v>
      </c>
    </row>
    <row r="174" spans="1:30" x14ac:dyDescent="0.2">
      <c r="A174" s="112" t="str">
        <f>IF(SUM(Q174:R174)=1,1+MAX($A$1:A173),"")</f>
        <v/>
      </c>
      <c r="B174" s="112" t="str">
        <f>IF(SUM(X174:Y174)=1,1+MAX($B$1:B173),"")</f>
        <v/>
      </c>
      <c r="C174" s="112" t="str">
        <f>IF(SUM(Q174:R174,X174:Y174)=2,1+MAX($C$1:C173),"")</f>
        <v/>
      </c>
      <c r="D174" s="113">
        <v>38883</v>
      </c>
      <c r="E174" s="112">
        <v>2006</v>
      </c>
      <c r="F174" s="112" t="s">
        <v>2684</v>
      </c>
      <c r="G174" s="112" t="s">
        <v>2685</v>
      </c>
      <c r="H174" s="114" t="s">
        <v>2709</v>
      </c>
      <c r="I174" s="112">
        <f t="shared" si="32"/>
        <v>0</v>
      </c>
      <c r="J174" s="112">
        <f t="shared" si="33"/>
        <v>1</v>
      </c>
      <c r="K174" s="115" t="s">
        <v>2549</v>
      </c>
      <c r="L174" s="115" t="s">
        <v>2763</v>
      </c>
      <c r="M174" s="115" t="s">
        <v>2775</v>
      </c>
      <c r="N174" s="115">
        <v>72000</v>
      </c>
      <c r="O174" s="112">
        <v>1</v>
      </c>
      <c r="P174" s="116" t="s">
        <v>2601</v>
      </c>
      <c r="Q174" s="112" t="str">
        <f t="shared" si="34"/>
        <v/>
      </c>
      <c r="R174" s="112" t="str">
        <f t="shared" si="35"/>
        <v/>
      </c>
      <c r="S174" s="112" t="str">
        <f t="shared" si="38"/>
        <v/>
      </c>
      <c r="T174" s="112" t="str">
        <f t="shared" si="39"/>
        <v/>
      </c>
      <c r="U174" s="112" t="str">
        <f t="shared" si="40"/>
        <v/>
      </c>
      <c r="V174" s="112" t="str">
        <f t="shared" si="41"/>
        <v/>
      </c>
      <c r="W174" s="112" t="str">
        <f t="shared" si="42"/>
        <v/>
      </c>
      <c r="X174" s="112" t="str">
        <f t="shared" si="36"/>
        <v/>
      </c>
      <c r="Y174" s="112" t="str">
        <f t="shared" si="37"/>
        <v/>
      </c>
      <c r="Z174" s="112" t="str">
        <f t="shared" si="43"/>
        <v/>
      </c>
      <c r="AA174" s="112" t="str">
        <f t="shared" si="44"/>
        <v/>
      </c>
      <c r="AB174" s="112" t="str">
        <f t="shared" si="45"/>
        <v/>
      </c>
      <c r="AC174" s="112" t="str">
        <f t="shared" si="46"/>
        <v/>
      </c>
      <c r="AD174" s="112" t="str">
        <f t="shared" si="47"/>
        <v/>
      </c>
    </row>
    <row r="175" spans="1:30" x14ac:dyDescent="0.2">
      <c r="A175" s="112">
        <f>IF(SUM(Q175:R175)=1,1+MAX($A$1:A174),"")</f>
        <v>11</v>
      </c>
      <c r="B175" s="112" t="str">
        <f>IF(SUM(X175:Y175)=1,1+MAX($B$1:B174),"")</f>
        <v/>
      </c>
      <c r="C175" s="112" t="str">
        <f>IF(SUM(Q175:R175,X175:Y175)=2,1+MAX($C$1:C174),"")</f>
        <v/>
      </c>
      <c r="D175" s="113">
        <v>38883</v>
      </c>
      <c r="E175" s="112">
        <v>2006</v>
      </c>
      <c r="F175" s="112" t="s">
        <v>2684</v>
      </c>
      <c r="G175" s="112" t="s">
        <v>2685</v>
      </c>
      <c r="H175" s="114" t="s">
        <v>2545</v>
      </c>
      <c r="I175" s="112">
        <f t="shared" si="32"/>
        <v>2</v>
      </c>
      <c r="J175" s="112">
        <f t="shared" si="33"/>
        <v>0</v>
      </c>
      <c r="K175" s="115" t="s">
        <v>2791</v>
      </c>
      <c r="L175" s="115" t="s">
        <v>2779</v>
      </c>
      <c r="M175" s="115" t="s">
        <v>2766</v>
      </c>
      <c r="N175" s="115">
        <v>41000</v>
      </c>
      <c r="O175" s="112">
        <v>1</v>
      </c>
      <c r="P175" s="116" t="s">
        <v>2641</v>
      </c>
      <c r="Q175" s="112">
        <f t="shared" si="34"/>
        <v>1</v>
      </c>
      <c r="R175" s="112" t="str">
        <f t="shared" si="35"/>
        <v/>
      </c>
      <c r="S175" s="112">
        <f t="shared" si="38"/>
        <v>1</v>
      </c>
      <c r="T175" s="112">
        <f t="shared" si="39"/>
        <v>0</v>
      </c>
      <c r="U175" s="112">
        <f t="shared" si="40"/>
        <v>0</v>
      </c>
      <c r="V175" s="112">
        <f t="shared" si="41"/>
        <v>2</v>
      </c>
      <c r="W175" s="112">
        <f t="shared" si="42"/>
        <v>2</v>
      </c>
      <c r="X175" s="112" t="str">
        <f t="shared" si="36"/>
        <v/>
      </c>
      <c r="Y175" s="112" t="str">
        <f t="shared" si="37"/>
        <v/>
      </c>
      <c r="Z175" s="112" t="str">
        <f t="shared" si="43"/>
        <v/>
      </c>
      <c r="AA175" s="112" t="str">
        <f t="shared" si="44"/>
        <v/>
      </c>
      <c r="AB175" s="112" t="str">
        <f t="shared" si="45"/>
        <v/>
      </c>
      <c r="AC175" s="112" t="str">
        <f t="shared" si="46"/>
        <v/>
      </c>
      <c r="AD175" s="112" t="str">
        <f t="shared" si="47"/>
        <v/>
      </c>
    </row>
    <row r="176" spans="1:30" x14ac:dyDescent="0.2">
      <c r="A176" s="112" t="str">
        <f>IF(SUM(Q176:R176)=1,1+MAX($A$1:A175),"")</f>
        <v/>
      </c>
      <c r="B176" s="112" t="str">
        <f>IF(SUM(X176:Y176)=1,1+MAX($B$1:B175),"")</f>
        <v/>
      </c>
      <c r="C176" s="112" t="str">
        <f>IF(SUM(Q176:R176,X176:Y176)=2,1+MAX($C$1:C175),"")</f>
        <v/>
      </c>
      <c r="D176" s="113">
        <v>38883</v>
      </c>
      <c r="E176" s="112">
        <v>2006</v>
      </c>
      <c r="F176" s="112" t="s">
        <v>2689</v>
      </c>
      <c r="G176" s="112" t="s">
        <v>2690</v>
      </c>
      <c r="H176" s="114" t="s">
        <v>2550</v>
      </c>
      <c r="I176" s="112">
        <f t="shared" si="32"/>
        <v>0</v>
      </c>
      <c r="J176" s="112">
        <f t="shared" si="33"/>
        <v>3</v>
      </c>
      <c r="K176" s="115" t="s">
        <v>2655</v>
      </c>
      <c r="L176" s="115" t="s">
        <v>2774</v>
      </c>
      <c r="M176" s="115" t="s">
        <v>2794</v>
      </c>
      <c r="N176" s="115">
        <v>50000</v>
      </c>
      <c r="O176" s="112">
        <v>2</v>
      </c>
      <c r="P176" s="116" t="s">
        <v>2607</v>
      </c>
      <c r="Q176" s="112" t="str">
        <f t="shared" si="34"/>
        <v/>
      </c>
      <c r="R176" s="112" t="str">
        <f t="shared" si="35"/>
        <v/>
      </c>
      <c r="S176" s="112" t="str">
        <f t="shared" si="38"/>
        <v/>
      </c>
      <c r="T176" s="112" t="str">
        <f t="shared" si="39"/>
        <v/>
      </c>
      <c r="U176" s="112" t="str">
        <f t="shared" si="40"/>
        <v/>
      </c>
      <c r="V176" s="112" t="str">
        <f t="shared" si="41"/>
        <v/>
      </c>
      <c r="W176" s="112" t="str">
        <f t="shared" si="42"/>
        <v/>
      </c>
      <c r="X176" s="112" t="str">
        <f t="shared" si="36"/>
        <v/>
      </c>
      <c r="Y176" s="112" t="str">
        <f t="shared" si="37"/>
        <v/>
      </c>
      <c r="Z176" s="112" t="str">
        <f t="shared" si="43"/>
        <v/>
      </c>
      <c r="AA176" s="112" t="str">
        <f t="shared" si="44"/>
        <v/>
      </c>
      <c r="AB176" s="112" t="str">
        <f t="shared" si="45"/>
        <v/>
      </c>
      <c r="AC176" s="112" t="str">
        <f t="shared" si="46"/>
        <v/>
      </c>
      <c r="AD176" s="112" t="str">
        <f t="shared" si="47"/>
        <v/>
      </c>
    </row>
    <row r="177" spans="1:30" x14ac:dyDescent="0.2">
      <c r="A177" s="112" t="str">
        <f>IF(SUM(Q177:R177)=1,1+MAX($A$1:A176),"")</f>
        <v/>
      </c>
      <c r="B177" s="112" t="str">
        <f>IF(SUM(X177:Y177)=1,1+MAX($B$1:B176),"")</f>
        <v/>
      </c>
      <c r="C177" s="112" t="str">
        <f>IF(SUM(Q177:R177,X177:Y177)=2,1+MAX($C$1:C176),"")</f>
        <v/>
      </c>
      <c r="D177" s="113">
        <v>38882</v>
      </c>
      <c r="E177" s="112">
        <v>2006</v>
      </c>
      <c r="F177" s="112" t="s">
        <v>2652</v>
      </c>
      <c r="G177" s="112" t="s">
        <v>2653</v>
      </c>
      <c r="H177" s="114" t="s">
        <v>2559</v>
      </c>
      <c r="I177" s="112">
        <f t="shared" si="32"/>
        <v>2</v>
      </c>
      <c r="J177" s="112">
        <f t="shared" si="33"/>
        <v>2</v>
      </c>
      <c r="K177" s="115" t="s">
        <v>2388</v>
      </c>
      <c r="L177" s="115" t="s">
        <v>2767</v>
      </c>
      <c r="M177" s="115" t="s">
        <v>2788</v>
      </c>
      <c r="N177" s="115">
        <v>66000</v>
      </c>
      <c r="O177" s="112">
        <v>1</v>
      </c>
      <c r="P177" s="116" t="s">
        <v>2697</v>
      </c>
      <c r="Q177" s="112" t="str">
        <f t="shared" si="34"/>
        <v/>
      </c>
      <c r="R177" s="112" t="str">
        <f t="shared" si="35"/>
        <v/>
      </c>
      <c r="S177" s="112" t="str">
        <f t="shared" si="38"/>
        <v/>
      </c>
      <c r="T177" s="112" t="str">
        <f t="shared" si="39"/>
        <v/>
      </c>
      <c r="U177" s="112" t="str">
        <f t="shared" si="40"/>
        <v/>
      </c>
      <c r="V177" s="112" t="str">
        <f t="shared" si="41"/>
        <v/>
      </c>
      <c r="W177" s="112" t="str">
        <f t="shared" si="42"/>
        <v/>
      </c>
      <c r="X177" s="112" t="str">
        <f t="shared" si="36"/>
        <v/>
      </c>
      <c r="Y177" s="112" t="str">
        <f t="shared" si="37"/>
        <v/>
      </c>
      <c r="Z177" s="112" t="str">
        <f t="shared" si="43"/>
        <v/>
      </c>
      <c r="AA177" s="112" t="str">
        <f t="shared" si="44"/>
        <v/>
      </c>
      <c r="AB177" s="112" t="str">
        <f t="shared" si="45"/>
        <v/>
      </c>
      <c r="AC177" s="112" t="str">
        <f t="shared" si="46"/>
        <v/>
      </c>
      <c r="AD177" s="112" t="str">
        <f t="shared" si="47"/>
        <v/>
      </c>
    </row>
    <row r="178" spans="1:30" x14ac:dyDescent="0.2">
      <c r="A178" s="112" t="str">
        <f>IF(SUM(Q178:R178)=1,1+MAX($A$1:A177),"")</f>
        <v/>
      </c>
      <c r="B178" s="112" t="str">
        <f>IF(SUM(X178:Y178)=1,1+MAX($B$1:B177),"")</f>
        <v/>
      </c>
      <c r="C178" s="112" t="str">
        <f>IF(SUM(Q178:R178,X178:Y178)=2,1+MAX($C$1:C177),"")</f>
        <v/>
      </c>
      <c r="D178" s="113">
        <v>38882</v>
      </c>
      <c r="E178" s="112">
        <v>2006</v>
      </c>
      <c r="F178" s="112" t="s">
        <v>2652</v>
      </c>
      <c r="G178" s="112" t="s">
        <v>2653</v>
      </c>
      <c r="H178" s="114" t="s">
        <v>2557</v>
      </c>
      <c r="I178" s="112">
        <f t="shared" si="32"/>
        <v>4</v>
      </c>
      <c r="J178" s="112">
        <f t="shared" si="33"/>
        <v>0</v>
      </c>
      <c r="K178" s="115" t="s">
        <v>2773</v>
      </c>
      <c r="L178" s="115" t="s">
        <v>2781</v>
      </c>
      <c r="M178" s="115" t="s">
        <v>2759</v>
      </c>
      <c r="N178" s="115">
        <v>43000</v>
      </c>
      <c r="O178" s="112">
        <v>1</v>
      </c>
      <c r="P178" s="116" t="s">
        <v>2710</v>
      </c>
      <c r="Q178" s="112" t="str">
        <f t="shared" si="34"/>
        <v/>
      </c>
      <c r="R178" s="112" t="str">
        <f t="shared" si="35"/>
        <v/>
      </c>
      <c r="S178" s="112" t="str">
        <f t="shared" si="38"/>
        <v/>
      </c>
      <c r="T178" s="112" t="str">
        <f t="shared" si="39"/>
        <v/>
      </c>
      <c r="U178" s="112" t="str">
        <f t="shared" si="40"/>
        <v/>
      </c>
      <c r="V178" s="112" t="str">
        <f t="shared" si="41"/>
        <v/>
      </c>
      <c r="W178" s="112" t="str">
        <f t="shared" si="42"/>
        <v/>
      </c>
      <c r="X178" s="112" t="str">
        <f t="shared" si="36"/>
        <v/>
      </c>
      <c r="Y178" s="112" t="str">
        <f t="shared" si="37"/>
        <v/>
      </c>
      <c r="Z178" s="112" t="str">
        <f t="shared" si="43"/>
        <v/>
      </c>
      <c r="AA178" s="112" t="str">
        <f t="shared" si="44"/>
        <v/>
      </c>
      <c r="AB178" s="112" t="str">
        <f t="shared" si="45"/>
        <v/>
      </c>
      <c r="AC178" s="112" t="str">
        <f t="shared" si="46"/>
        <v/>
      </c>
      <c r="AD178" s="112" t="str">
        <f t="shared" si="47"/>
        <v/>
      </c>
    </row>
    <row r="179" spans="1:30" x14ac:dyDescent="0.2">
      <c r="A179" s="112" t="str">
        <f>IF(SUM(Q179:R179)=1,1+MAX($A$1:A178),"")</f>
        <v/>
      </c>
      <c r="B179" s="112" t="str">
        <f>IF(SUM(X179:Y179)=1,1+MAX($B$1:B178),"")</f>
        <v/>
      </c>
      <c r="C179" s="112" t="str">
        <f>IF(SUM(Q179:R179,X179:Y179)=2,1+MAX($C$1:C178),"")</f>
        <v/>
      </c>
      <c r="D179" s="113">
        <v>38882</v>
      </c>
      <c r="E179" s="112">
        <v>2006</v>
      </c>
      <c r="F179" s="112" t="s">
        <v>2689</v>
      </c>
      <c r="G179" s="112" t="s">
        <v>2690</v>
      </c>
      <c r="H179" s="114" t="s">
        <v>2547</v>
      </c>
      <c r="I179" s="112">
        <f t="shared" si="32"/>
        <v>1</v>
      </c>
      <c r="J179" s="112">
        <f t="shared" si="33"/>
        <v>0</v>
      </c>
      <c r="K179" s="115" t="s">
        <v>2544</v>
      </c>
      <c r="L179" s="115" t="s">
        <v>2785</v>
      </c>
      <c r="M179" s="115" t="s">
        <v>2770</v>
      </c>
      <c r="N179" s="115">
        <v>65000</v>
      </c>
      <c r="O179" s="112">
        <v>1</v>
      </c>
      <c r="P179" s="116" t="s">
        <v>2622</v>
      </c>
      <c r="Q179" s="112" t="str">
        <f t="shared" si="34"/>
        <v/>
      </c>
      <c r="R179" s="112" t="str">
        <f t="shared" si="35"/>
        <v/>
      </c>
      <c r="S179" s="112" t="str">
        <f t="shared" si="38"/>
        <v/>
      </c>
      <c r="T179" s="112" t="str">
        <f t="shared" si="39"/>
        <v/>
      </c>
      <c r="U179" s="112" t="str">
        <f t="shared" si="40"/>
        <v/>
      </c>
      <c r="V179" s="112" t="str">
        <f t="shared" si="41"/>
        <v/>
      </c>
      <c r="W179" s="112" t="str">
        <f t="shared" si="42"/>
        <v/>
      </c>
      <c r="X179" s="112" t="str">
        <f t="shared" si="36"/>
        <v/>
      </c>
      <c r="Y179" s="112" t="str">
        <f t="shared" si="37"/>
        <v/>
      </c>
      <c r="Z179" s="112" t="str">
        <f t="shared" si="43"/>
        <v/>
      </c>
      <c r="AA179" s="112" t="str">
        <f t="shared" si="44"/>
        <v/>
      </c>
      <c r="AB179" s="112" t="str">
        <f t="shared" si="45"/>
        <v/>
      </c>
      <c r="AC179" s="112" t="str">
        <f t="shared" si="46"/>
        <v/>
      </c>
      <c r="AD179" s="112" t="str">
        <f t="shared" si="47"/>
        <v/>
      </c>
    </row>
    <row r="180" spans="1:30" x14ac:dyDescent="0.2">
      <c r="A180" s="112" t="str">
        <f>IF(SUM(Q180:R180)=1,1+MAX($A$1:A179),"")</f>
        <v/>
      </c>
      <c r="B180" s="112" t="str">
        <f>IF(SUM(X180:Y180)=1,1+MAX($B$1:B179),"")</f>
        <v/>
      </c>
      <c r="C180" s="112" t="str">
        <f>IF(SUM(Q180:R180,X180:Y180)=2,1+MAX($C$1:C179),"")</f>
        <v/>
      </c>
      <c r="D180" s="113">
        <v>38881</v>
      </c>
      <c r="E180" s="112">
        <v>2006</v>
      </c>
      <c r="F180" s="112" t="s">
        <v>2656</v>
      </c>
      <c r="G180" s="112" t="s">
        <v>2657</v>
      </c>
      <c r="H180" s="114" t="s">
        <v>2541</v>
      </c>
      <c r="I180" s="112">
        <f t="shared" si="32"/>
        <v>0</v>
      </c>
      <c r="J180" s="112">
        <f t="shared" si="33"/>
        <v>0</v>
      </c>
      <c r="K180" s="115" t="s">
        <v>2558</v>
      </c>
      <c r="L180" s="115" t="s">
        <v>2765</v>
      </c>
      <c r="M180" s="115" t="s">
        <v>2780</v>
      </c>
      <c r="N180" s="115">
        <v>52000</v>
      </c>
      <c r="O180" s="112">
        <v>1</v>
      </c>
      <c r="P180" s="116" t="s">
        <v>2613</v>
      </c>
      <c r="Q180" s="112" t="str">
        <f t="shared" si="34"/>
        <v/>
      </c>
      <c r="R180" s="112" t="str">
        <f t="shared" si="35"/>
        <v/>
      </c>
      <c r="S180" s="112" t="str">
        <f t="shared" si="38"/>
        <v/>
      </c>
      <c r="T180" s="112" t="str">
        <f t="shared" si="39"/>
        <v/>
      </c>
      <c r="U180" s="112" t="str">
        <f t="shared" si="40"/>
        <v/>
      </c>
      <c r="V180" s="112" t="str">
        <f t="shared" si="41"/>
        <v/>
      </c>
      <c r="W180" s="112" t="str">
        <f t="shared" si="42"/>
        <v/>
      </c>
      <c r="X180" s="112" t="str">
        <f t="shared" si="36"/>
        <v/>
      </c>
      <c r="Y180" s="112" t="str">
        <f t="shared" si="37"/>
        <v/>
      </c>
      <c r="Z180" s="112" t="str">
        <f t="shared" si="43"/>
        <v/>
      </c>
      <c r="AA180" s="112" t="str">
        <f t="shared" si="44"/>
        <v/>
      </c>
      <c r="AB180" s="112" t="str">
        <f t="shared" si="45"/>
        <v/>
      </c>
      <c r="AC180" s="112" t="str">
        <f t="shared" si="46"/>
        <v/>
      </c>
      <c r="AD180" s="112" t="str">
        <f t="shared" si="47"/>
        <v/>
      </c>
    </row>
    <row r="181" spans="1:30" x14ac:dyDescent="0.2">
      <c r="A181" s="112" t="str">
        <f>IF(SUM(Q181:R181)=1,1+MAX($A$1:A180),"")</f>
        <v/>
      </c>
      <c r="B181" s="112" t="str">
        <f>IF(SUM(X181:Y181)=1,1+MAX($B$1:B180),"")</f>
        <v/>
      </c>
      <c r="C181" s="112" t="str">
        <f>IF(SUM(Q181:R181,X181:Y181)=2,1+MAX($C$1:C180),"")</f>
        <v/>
      </c>
      <c r="D181" s="113">
        <v>38881</v>
      </c>
      <c r="E181" s="112">
        <v>2006</v>
      </c>
      <c r="F181" s="112" t="s">
        <v>2656</v>
      </c>
      <c r="G181" s="112" t="s">
        <v>2657</v>
      </c>
      <c r="H181" s="114" t="s">
        <v>2543</v>
      </c>
      <c r="I181" s="112">
        <f t="shared" si="32"/>
        <v>2</v>
      </c>
      <c r="J181" s="112">
        <f t="shared" si="33"/>
        <v>1</v>
      </c>
      <c r="K181" s="115" t="s">
        <v>2783</v>
      </c>
      <c r="L181" s="115" t="s">
        <v>2769</v>
      </c>
      <c r="M181" s="115" t="s">
        <v>2784</v>
      </c>
      <c r="N181" s="115">
        <v>48000</v>
      </c>
      <c r="O181" s="112">
        <v>1</v>
      </c>
      <c r="P181" s="116" t="s">
        <v>2626</v>
      </c>
      <c r="Q181" s="112" t="str">
        <f t="shared" si="34"/>
        <v/>
      </c>
      <c r="R181" s="112" t="str">
        <f t="shared" si="35"/>
        <v/>
      </c>
      <c r="S181" s="112" t="str">
        <f t="shared" si="38"/>
        <v/>
      </c>
      <c r="T181" s="112" t="str">
        <f t="shared" si="39"/>
        <v/>
      </c>
      <c r="U181" s="112" t="str">
        <f t="shared" si="40"/>
        <v/>
      </c>
      <c r="V181" s="112" t="str">
        <f t="shared" si="41"/>
        <v/>
      </c>
      <c r="W181" s="112" t="str">
        <f t="shared" si="42"/>
        <v/>
      </c>
      <c r="X181" s="112" t="str">
        <f t="shared" si="36"/>
        <v/>
      </c>
      <c r="Y181" s="112" t="str">
        <f t="shared" si="37"/>
        <v/>
      </c>
      <c r="Z181" s="112" t="str">
        <f t="shared" si="43"/>
        <v/>
      </c>
      <c r="AA181" s="112" t="str">
        <f t="shared" si="44"/>
        <v/>
      </c>
      <c r="AB181" s="112" t="str">
        <f t="shared" si="45"/>
        <v/>
      </c>
      <c r="AC181" s="112" t="str">
        <f t="shared" si="46"/>
        <v/>
      </c>
      <c r="AD181" s="112" t="str">
        <f t="shared" si="47"/>
        <v/>
      </c>
    </row>
    <row r="182" spans="1:30" x14ac:dyDescent="0.2">
      <c r="A182" s="112" t="str">
        <f>IF(SUM(Q182:R182)=1,1+MAX($A$1:A181),"")</f>
        <v/>
      </c>
      <c r="B182" s="112" t="str">
        <f>IF(SUM(X182:Y182)=1,1+MAX($B$1:B181),"")</f>
        <v/>
      </c>
      <c r="C182" s="112" t="str">
        <f>IF(SUM(Q182:R182,X182:Y182)=2,1+MAX($C$1:C181),"")</f>
        <v/>
      </c>
      <c r="D182" s="113">
        <v>38881</v>
      </c>
      <c r="E182" s="112">
        <v>2006</v>
      </c>
      <c r="F182" s="112" t="s">
        <v>2661</v>
      </c>
      <c r="G182" s="112" t="s">
        <v>2662</v>
      </c>
      <c r="H182" s="114" t="s">
        <v>1442</v>
      </c>
      <c r="I182" s="112">
        <f t="shared" si="32"/>
        <v>1</v>
      </c>
      <c r="J182" s="112">
        <f t="shared" si="33"/>
        <v>0</v>
      </c>
      <c r="K182" s="115" t="s">
        <v>1024</v>
      </c>
      <c r="L182" s="115" t="s">
        <v>2763</v>
      </c>
      <c r="M182" s="115" t="s">
        <v>2724</v>
      </c>
      <c r="N182" s="115">
        <v>72000</v>
      </c>
      <c r="O182" s="112">
        <v>1</v>
      </c>
      <c r="P182" s="116" t="s">
        <v>2622</v>
      </c>
      <c r="Q182" s="112" t="str">
        <f t="shared" si="34"/>
        <v/>
      </c>
      <c r="R182" s="112" t="str">
        <f t="shared" si="35"/>
        <v/>
      </c>
      <c r="S182" s="112" t="str">
        <f t="shared" si="38"/>
        <v/>
      </c>
      <c r="T182" s="112" t="str">
        <f t="shared" si="39"/>
        <v/>
      </c>
      <c r="U182" s="112" t="str">
        <f t="shared" si="40"/>
        <v/>
      </c>
      <c r="V182" s="112" t="str">
        <f t="shared" si="41"/>
        <v/>
      </c>
      <c r="W182" s="112" t="str">
        <f t="shared" si="42"/>
        <v/>
      </c>
      <c r="X182" s="112" t="str">
        <f t="shared" si="36"/>
        <v/>
      </c>
      <c r="Y182" s="112" t="str">
        <f t="shared" si="37"/>
        <v/>
      </c>
      <c r="Z182" s="112" t="str">
        <f t="shared" si="43"/>
        <v/>
      </c>
      <c r="AA182" s="112" t="str">
        <f t="shared" si="44"/>
        <v/>
      </c>
      <c r="AB182" s="112" t="str">
        <f t="shared" si="45"/>
        <v/>
      </c>
      <c r="AC182" s="112" t="str">
        <f t="shared" si="46"/>
        <v/>
      </c>
      <c r="AD182" s="112" t="str">
        <f t="shared" si="47"/>
        <v/>
      </c>
    </row>
    <row r="183" spans="1:30" x14ac:dyDescent="0.2">
      <c r="A183" s="112" t="str">
        <f>IF(SUM(Q183:R183)=1,1+MAX($A$1:A182),"")</f>
        <v/>
      </c>
      <c r="B183" s="112" t="str">
        <f>IF(SUM(X183:Y183)=1,1+MAX($B$1:B182),"")</f>
        <v/>
      </c>
      <c r="C183" s="112" t="str">
        <f>IF(SUM(Q183:R183,X183:Y183)=2,1+MAX($C$1:C182),"")</f>
        <v/>
      </c>
      <c r="D183" s="113">
        <v>38880</v>
      </c>
      <c r="E183" s="112">
        <v>2006</v>
      </c>
      <c r="F183" s="112" t="s">
        <v>2661</v>
      </c>
      <c r="G183" s="112" t="s">
        <v>2662</v>
      </c>
      <c r="H183" s="114" t="s">
        <v>1317</v>
      </c>
      <c r="I183" s="112">
        <f t="shared" si="32"/>
        <v>3</v>
      </c>
      <c r="J183" s="112">
        <f t="shared" si="33"/>
        <v>1</v>
      </c>
      <c r="K183" s="115" t="s">
        <v>1395</v>
      </c>
      <c r="L183" s="115" t="s">
        <v>2778</v>
      </c>
      <c r="M183" s="115" t="s">
        <v>2795</v>
      </c>
      <c r="N183" s="115">
        <v>46000</v>
      </c>
      <c r="O183" s="112">
        <v>1</v>
      </c>
      <c r="P183" s="116" t="s">
        <v>2663</v>
      </c>
      <c r="Q183" s="112" t="str">
        <f t="shared" si="34"/>
        <v/>
      </c>
      <c r="R183" s="112" t="str">
        <f t="shared" si="35"/>
        <v/>
      </c>
      <c r="S183" s="112" t="str">
        <f t="shared" si="38"/>
        <v/>
      </c>
      <c r="T183" s="112" t="str">
        <f t="shared" si="39"/>
        <v/>
      </c>
      <c r="U183" s="112" t="str">
        <f t="shared" si="40"/>
        <v/>
      </c>
      <c r="V183" s="112" t="str">
        <f t="shared" si="41"/>
        <v/>
      </c>
      <c r="W183" s="112" t="str">
        <f t="shared" si="42"/>
        <v/>
      </c>
      <c r="X183" s="112" t="str">
        <f t="shared" si="36"/>
        <v/>
      </c>
      <c r="Y183" s="112" t="str">
        <f t="shared" si="37"/>
        <v/>
      </c>
      <c r="Z183" s="112" t="str">
        <f t="shared" si="43"/>
        <v/>
      </c>
      <c r="AA183" s="112" t="str">
        <f t="shared" si="44"/>
        <v/>
      </c>
      <c r="AB183" s="112" t="str">
        <f t="shared" si="45"/>
        <v/>
      </c>
      <c r="AC183" s="112" t="str">
        <f t="shared" si="46"/>
        <v/>
      </c>
      <c r="AD183" s="112" t="str">
        <f t="shared" si="47"/>
        <v/>
      </c>
    </row>
    <row r="184" spans="1:30" x14ac:dyDescent="0.2">
      <c r="A184" s="112" t="str">
        <f>IF(SUM(Q184:R184)=1,1+MAX($A$1:A183),"")</f>
        <v/>
      </c>
      <c r="B184" s="112" t="str">
        <f>IF(SUM(X184:Y184)=1,1+MAX($B$1:B183),"")</f>
        <v/>
      </c>
      <c r="C184" s="112" t="str">
        <f>IF(SUM(Q184:R184,X184:Y184)=2,1+MAX($C$1:C183),"")</f>
        <v/>
      </c>
      <c r="D184" s="113">
        <v>38880</v>
      </c>
      <c r="E184" s="112">
        <v>2006</v>
      </c>
      <c r="F184" s="112" t="s">
        <v>2666</v>
      </c>
      <c r="G184" s="112" t="s">
        <v>2667</v>
      </c>
      <c r="H184" s="114" t="s">
        <v>2658</v>
      </c>
      <c r="I184" s="112">
        <f t="shared" si="32"/>
        <v>0</v>
      </c>
      <c r="J184" s="112">
        <f t="shared" si="33"/>
        <v>2</v>
      </c>
      <c r="K184" s="115" t="s">
        <v>2674</v>
      </c>
      <c r="L184" s="115" t="s">
        <v>2776</v>
      </c>
      <c r="M184" s="115" t="s">
        <v>2751</v>
      </c>
      <c r="N184" s="115">
        <v>43000</v>
      </c>
      <c r="O184" s="112">
        <v>1</v>
      </c>
      <c r="P184" s="116" t="s">
        <v>2687</v>
      </c>
      <c r="Q184" s="112" t="str">
        <f t="shared" si="34"/>
        <v/>
      </c>
      <c r="R184" s="112" t="str">
        <f t="shared" si="35"/>
        <v/>
      </c>
      <c r="S184" s="112" t="str">
        <f t="shared" si="38"/>
        <v/>
      </c>
      <c r="T184" s="112" t="str">
        <f t="shared" si="39"/>
        <v/>
      </c>
      <c r="U184" s="112" t="str">
        <f t="shared" si="40"/>
        <v/>
      </c>
      <c r="V184" s="112" t="str">
        <f t="shared" si="41"/>
        <v/>
      </c>
      <c r="W184" s="112" t="str">
        <f t="shared" si="42"/>
        <v/>
      </c>
      <c r="X184" s="112" t="str">
        <f t="shared" si="36"/>
        <v/>
      </c>
      <c r="Y184" s="112" t="str">
        <f t="shared" si="37"/>
        <v/>
      </c>
      <c r="Z184" s="112" t="str">
        <f t="shared" si="43"/>
        <v/>
      </c>
      <c r="AA184" s="112" t="str">
        <f t="shared" si="44"/>
        <v/>
      </c>
      <c r="AB184" s="112" t="str">
        <f t="shared" si="45"/>
        <v/>
      </c>
      <c r="AC184" s="112" t="str">
        <f t="shared" si="46"/>
        <v/>
      </c>
      <c r="AD184" s="112" t="str">
        <f t="shared" si="47"/>
        <v/>
      </c>
    </row>
    <row r="185" spans="1:30" x14ac:dyDescent="0.2">
      <c r="A185" s="112" t="str">
        <f>IF(SUM(Q185:R185)=1,1+MAX($A$1:A184),"")</f>
        <v/>
      </c>
      <c r="B185" s="112" t="str">
        <f>IF(SUM(X185:Y185)=1,1+MAX($B$1:B184),"")</f>
        <v/>
      </c>
      <c r="C185" s="112" t="str">
        <f>IF(SUM(Q185:R185,X185:Y185)=2,1+MAX($C$1:C184),"")</f>
        <v/>
      </c>
      <c r="D185" s="113">
        <v>38880</v>
      </c>
      <c r="E185" s="112">
        <v>2006</v>
      </c>
      <c r="F185" s="112" t="s">
        <v>2666</v>
      </c>
      <c r="G185" s="112" t="s">
        <v>2667</v>
      </c>
      <c r="H185" s="114" t="s">
        <v>2646</v>
      </c>
      <c r="I185" s="112">
        <f t="shared" si="32"/>
        <v>3</v>
      </c>
      <c r="J185" s="112">
        <f t="shared" si="33"/>
        <v>0</v>
      </c>
      <c r="K185" s="115" t="s">
        <v>2614</v>
      </c>
      <c r="L185" s="115" t="s">
        <v>2771</v>
      </c>
      <c r="M185" s="115" t="s">
        <v>2782</v>
      </c>
      <c r="N185" s="115">
        <v>52000</v>
      </c>
      <c r="O185" s="112">
        <v>3</v>
      </c>
      <c r="P185" s="116" t="s">
        <v>2713</v>
      </c>
      <c r="Q185" s="112" t="str">
        <f t="shared" si="34"/>
        <v/>
      </c>
      <c r="R185" s="112" t="str">
        <f t="shared" si="35"/>
        <v/>
      </c>
      <c r="S185" s="112" t="str">
        <f t="shared" si="38"/>
        <v/>
      </c>
      <c r="T185" s="112" t="str">
        <f t="shared" si="39"/>
        <v/>
      </c>
      <c r="U185" s="112" t="str">
        <f t="shared" si="40"/>
        <v/>
      </c>
      <c r="V185" s="112" t="str">
        <f t="shared" si="41"/>
        <v/>
      </c>
      <c r="W185" s="112" t="str">
        <f t="shared" si="42"/>
        <v/>
      </c>
      <c r="X185" s="112" t="str">
        <f t="shared" si="36"/>
        <v/>
      </c>
      <c r="Y185" s="112" t="str">
        <f t="shared" si="37"/>
        <v/>
      </c>
      <c r="Z185" s="112" t="str">
        <f t="shared" si="43"/>
        <v/>
      </c>
      <c r="AA185" s="112" t="str">
        <f t="shared" si="44"/>
        <v/>
      </c>
      <c r="AB185" s="112" t="str">
        <f t="shared" si="45"/>
        <v/>
      </c>
      <c r="AC185" s="112" t="str">
        <f t="shared" si="46"/>
        <v/>
      </c>
      <c r="AD185" s="112" t="str">
        <f t="shared" si="47"/>
        <v/>
      </c>
    </row>
    <row r="186" spans="1:30" x14ac:dyDescent="0.2">
      <c r="A186" s="112" t="str">
        <f>IF(SUM(Q186:R186)=1,1+MAX($A$1:A185),"")</f>
        <v/>
      </c>
      <c r="B186" s="112" t="str">
        <f>IF(SUM(X186:Y186)=1,1+MAX($B$1:B185),"")</f>
        <v/>
      </c>
      <c r="C186" s="112" t="str">
        <f>IF(SUM(Q186:R186,X186:Y186)=2,1+MAX($C$1:C185),"")</f>
        <v/>
      </c>
      <c r="D186" s="113">
        <v>38879</v>
      </c>
      <c r="E186" s="112">
        <v>2006</v>
      </c>
      <c r="F186" s="112" t="s">
        <v>2672</v>
      </c>
      <c r="G186" s="112" t="s">
        <v>2673</v>
      </c>
      <c r="H186" s="114" t="s">
        <v>2608</v>
      </c>
      <c r="I186" s="112">
        <f t="shared" si="32"/>
        <v>0</v>
      </c>
      <c r="J186" s="112">
        <f t="shared" si="33"/>
        <v>1</v>
      </c>
      <c r="K186" s="115" t="s">
        <v>2556</v>
      </c>
      <c r="L186" s="115" t="s">
        <v>2777</v>
      </c>
      <c r="M186" s="115" t="s">
        <v>2742</v>
      </c>
      <c r="N186" s="115">
        <v>45000</v>
      </c>
      <c r="O186" s="112">
        <v>1</v>
      </c>
      <c r="P186" s="116" t="s">
        <v>2601</v>
      </c>
      <c r="Q186" s="112" t="str">
        <f t="shared" si="34"/>
        <v/>
      </c>
      <c r="R186" s="112" t="str">
        <f t="shared" si="35"/>
        <v/>
      </c>
      <c r="S186" s="112" t="str">
        <f t="shared" si="38"/>
        <v/>
      </c>
      <c r="T186" s="112" t="str">
        <f t="shared" si="39"/>
        <v/>
      </c>
      <c r="U186" s="112" t="str">
        <f t="shared" si="40"/>
        <v/>
      </c>
      <c r="V186" s="112" t="str">
        <f t="shared" si="41"/>
        <v/>
      </c>
      <c r="W186" s="112" t="str">
        <f t="shared" si="42"/>
        <v/>
      </c>
      <c r="X186" s="112" t="str">
        <f t="shared" si="36"/>
        <v/>
      </c>
      <c r="Y186" s="112" t="str">
        <f t="shared" si="37"/>
        <v/>
      </c>
      <c r="Z186" s="112" t="str">
        <f t="shared" si="43"/>
        <v/>
      </c>
      <c r="AA186" s="112" t="str">
        <f t="shared" si="44"/>
        <v/>
      </c>
      <c r="AB186" s="112" t="str">
        <f t="shared" si="45"/>
        <v/>
      </c>
      <c r="AC186" s="112" t="str">
        <f t="shared" si="46"/>
        <v/>
      </c>
      <c r="AD186" s="112" t="str">
        <f t="shared" si="47"/>
        <v/>
      </c>
    </row>
    <row r="187" spans="1:30" x14ac:dyDescent="0.2">
      <c r="A187" s="112" t="str">
        <f>IF(SUM(Q187:R187)=1,1+MAX($A$1:A186),"")</f>
        <v/>
      </c>
      <c r="B187" s="112" t="str">
        <f>IF(SUM(X187:Y187)=1,1+MAX($B$1:B186),"")</f>
        <v/>
      </c>
      <c r="C187" s="112" t="str">
        <f>IF(SUM(Q187:R187,X187:Y187)=2,1+MAX($C$1:C186),"")</f>
        <v/>
      </c>
      <c r="D187" s="113">
        <v>38879</v>
      </c>
      <c r="E187" s="112">
        <v>2006</v>
      </c>
      <c r="F187" s="112" t="s">
        <v>2672</v>
      </c>
      <c r="G187" s="112" t="s">
        <v>2673</v>
      </c>
      <c r="H187" s="114" t="s">
        <v>2553</v>
      </c>
      <c r="I187" s="112">
        <f t="shared" si="32"/>
        <v>1</v>
      </c>
      <c r="J187" s="112">
        <f t="shared" si="33"/>
        <v>3</v>
      </c>
      <c r="K187" s="115" t="s">
        <v>1061</v>
      </c>
      <c r="L187" s="115" t="s">
        <v>2779</v>
      </c>
      <c r="M187" s="115" t="s">
        <v>2740</v>
      </c>
      <c r="N187" s="115">
        <v>41000</v>
      </c>
      <c r="O187" s="112">
        <v>1</v>
      </c>
      <c r="P187" s="116" t="s">
        <v>2691</v>
      </c>
      <c r="Q187" s="112" t="str">
        <f t="shared" si="34"/>
        <v/>
      </c>
      <c r="R187" s="112" t="str">
        <f t="shared" si="35"/>
        <v/>
      </c>
      <c r="S187" s="112" t="str">
        <f t="shared" si="38"/>
        <v/>
      </c>
      <c r="T187" s="112" t="str">
        <f t="shared" si="39"/>
        <v/>
      </c>
      <c r="U187" s="112" t="str">
        <f t="shared" si="40"/>
        <v/>
      </c>
      <c r="V187" s="112" t="str">
        <f t="shared" si="41"/>
        <v/>
      </c>
      <c r="W187" s="112" t="str">
        <f t="shared" si="42"/>
        <v/>
      </c>
      <c r="X187" s="112" t="str">
        <f t="shared" si="36"/>
        <v/>
      </c>
      <c r="Y187" s="112" t="str">
        <f t="shared" si="37"/>
        <v/>
      </c>
      <c r="Z187" s="112" t="str">
        <f t="shared" si="43"/>
        <v/>
      </c>
      <c r="AA187" s="112" t="str">
        <f t="shared" si="44"/>
        <v/>
      </c>
      <c r="AB187" s="112" t="str">
        <f t="shared" si="45"/>
        <v/>
      </c>
      <c r="AC187" s="112" t="str">
        <f t="shared" si="46"/>
        <v/>
      </c>
      <c r="AD187" s="112" t="str">
        <f t="shared" si="47"/>
        <v/>
      </c>
    </row>
    <row r="188" spans="1:30" x14ac:dyDescent="0.2">
      <c r="A188" s="112" t="str">
        <f>IF(SUM(Q188:R188)=1,1+MAX($A$1:A187),"")</f>
        <v/>
      </c>
      <c r="B188" s="112" t="str">
        <f>IF(SUM(X188:Y188)=1,1+MAX($B$1:B187),"")</f>
        <v/>
      </c>
      <c r="C188" s="112" t="str">
        <f>IF(SUM(Q188:R188,X188:Y188)=2,1+MAX($C$1:C187),"")</f>
        <v/>
      </c>
      <c r="D188" s="113">
        <v>38879</v>
      </c>
      <c r="E188" s="112">
        <v>2006</v>
      </c>
      <c r="F188" s="112" t="s">
        <v>2677</v>
      </c>
      <c r="G188" s="112" t="s">
        <v>2678</v>
      </c>
      <c r="H188" s="114" t="s">
        <v>2604</v>
      </c>
      <c r="I188" s="112">
        <f t="shared" si="32"/>
        <v>1</v>
      </c>
      <c r="J188" s="112">
        <f t="shared" si="33"/>
        <v>0</v>
      </c>
      <c r="K188" s="115" t="s">
        <v>2790</v>
      </c>
      <c r="L188" s="115" t="s">
        <v>2781</v>
      </c>
      <c r="M188" s="115" t="s">
        <v>2787</v>
      </c>
      <c r="N188" s="115">
        <v>43000</v>
      </c>
      <c r="O188" s="112">
        <v>1</v>
      </c>
      <c r="P188" s="116" t="s">
        <v>2622</v>
      </c>
      <c r="Q188" s="112" t="str">
        <f t="shared" si="34"/>
        <v/>
      </c>
      <c r="R188" s="112" t="str">
        <f t="shared" si="35"/>
        <v/>
      </c>
      <c r="S188" s="112" t="str">
        <f t="shared" si="38"/>
        <v/>
      </c>
      <c r="T188" s="112" t="str">
        <f t="shared" si="39"/>
        <v/>
      </c>
      <c r="U188" s="112" t="str">
        <f t="shared" si="40"/>
        <v/>
      </c>
      <c r="V188" s="112" t="str">
        <f t="shared" si="41"/>
        <v/>
      </c>
      <c r="W188" s="112" t="str">
        <f t="shared" si="42"/>
        <v/>
      </c>
      <c r="X188" s="112" t="str">
        <f t="shared" si="36"/>
        <v/>
      </c>
      <c r="Y188" s="112" t="str">
        <f t="shared" si="37"/>
        <v/>
      </c>
      <c r="Z188" s="112" t="str">
        <f t="shared" si="43"/>
        <v/>
      </c>
      <c r="AA188" s="112" t="str">
        <f t="shared" si="44"/>
        <v/>
      </c>
      <c r="AB188" s="112" t="str">
        <f t="shared" si="45"/>
        <v/>
      </c>
      <c r="AC188" s="112" t="str">
        <f t="shared" si="46"/>
        <v/>
      </c>
      <c r="AD188" s="112" t="str">
        <f t="shared" si="47"/>
        <v/>
      </c>
    </row>
    <row r="189" spans="1:30" x14ac:dyDescent="0.2">
      <c r="A189" s="112" t="str">
        <f>IF(SUM(Q189:R189)=1,1+MAX($A$1:A188),"")</f>
        <v/>
      </c>
      <c r="B189" s="112">
        <f>IF(SUM(X189:Y189)=1,1+MAX($B$1:B188),"")</f>
        <v>17</v>
      </c>
      <c r="C189" s="112" t="str">
        <f>IF(SUM(Q189:R189,X189:Y189)=2,1+MAX($C$1:C188),"")</f>
        <v/>
      </c>
      <c r="D189" s="113">
        <v>38878</v>
      </c>
      <c r="E189" s="112">
        <v>2006</v>
      </c>
      <c r="F189" s="112" t="s">
        <v>2677</v>
      </c>
      <c r="G189" s="112" t="s">
        <v>2678</v>
      </c>
      <c r="H189" s="114" t="s">
        <v>1134</v>
      </c>
      <c r="I189" s="112">
        <f t="shared" si="32"/>
        <v>2</v>
      </c>
      <c r="J189" s="112">
        <f t="shared" si="33"/>
        <v>1</v>
      </c>
      <c r="K189" s="115" t="s">
        <v>2679</v>
      </c>
      <c r="L189" s="115" t="s">
        <v>2774</v>
      </c>
      <c r="M189" s="115" t="s">
        <v>2737</v>
      </c>
      <c r="N189" s="115">
        <v>49480</v>
      </c>
      <c r="O189" s="112">
        <v>1</v>
      </c>
      <c r="P189" s="116" t="s">
        <v>2626</v>
      </c>
      <c r="Q189" s="112" t="str">
        <f t="shared" si="34"/>
        <v/>
      </c>
      <c r="R189" s="112" t="str">
        <f t="shared" si="35"/>
        <v/>
      </c>
      <c r="S189" s="112" t="str">
        <f t="shared" si="38"/>
        <v/>
      </c>
      <c r="T189" s="112" t="str">
        <f t="shared" si="39"/>
        <v/>
      </c>
      <c r="U189" s="112" t="str">
        <f t="shared" si="40"/>
        <v/>
      </c>
      <c r="V189" s="112" t="str">
        <f t="shared" si="41"/>
        <v/>
      </c>
      <c r="W189" s="112" t="str">
        <f t="shared" si="42"/>
        <v/>
      </c>
      <c r="X189" s="112">
        <f t="shared" si="36"/>
        <v>1</v>
      </c>
      <c r="Y189" s="112" t="str">
        <f t="shared" si="37"/>
        <v/>
      </c>
      <c r="Z189" s="112">
        <f t="shared" si="43"/>
        <v>1</v>
      </c>
      <c r="AA189" s="112">
        <f t="shared" si="44"/>
        <v>0</v>
      </c>
      <c r="AB189" s="112">
        <f t="shared" si="45"/>
        <v>0</v>
      </c>
      <c r="AC189" s="112">
        <f t="shared" si="46"/>
        <v>3</v>
      </c>
      <c r="AD189" s="112">
        <f t="shared" si="47"/>
        <v>1</v>
      </c>
    </row>
    <row r="190" spans="1:30" x14ac:dyDescent="0.2">
      <c r="A190" s="112" t="str">
        <f>IF(SUM(Q190:R190)=1,1+MAX($A$1:A189),"")</f>
        <v/>
      </c>
      <c r="B190" s="112" t="str">
        <f>IF(SUM(X190:Y190)=1,1+MAX($B$1:B189),"")</f>
        <v/>
      </c>
      <c r="C190" s="112" t="str">
        <f>IF(SUM(Q190:R190,X190:Y190)=2,1+MAX($C$1:C189),"")</f>
        <v/>
      </c>
      <c r="D190" s="113">
        <v>38878</v>
      </c>
      <c r="E190" s="112">
        <v>2006</v>
      </c>
      <c r="F190" s="112" t="s">
        <v>2684</v>
      </c>
      <c r="G190" s="112" t="s">
        <v>2685</v>
      </c>
      <c r="H190" s="114" t="s">
        <v>2549</v>
      </c>
      <c r="I190" s="112">
        <f t="shared" si="32"/>
        <v>0</v>
      </c>
      <c r="J190" s="112">
        <f t="shared" si="33"/>
        <v>0</v>
      </c>
      <c r="K190" s="115" t="s">
        <v>2791</v>
      </c>
      <c r="L190" s="115" t="s">
        <v>2785</v>
      </c>
      <c r="M190" s="115" t="s">
        <v>2792</v>
      </c>
      <c r="N190" s="115">
        <v>62959</v>
      </c>
      <c r="O190" s="112">
        <v>1</v>
      </c>
      <c r="P190" s="116" t="s">
        <v>2613</v>
      </c>
      <c r="Q190" s="112" t="str">
        <f t="shared" si="34"/>
        <v/>
      </c>
      <c r="R190" s="112" t="str">
        <f t="shared" si="35"/>
        <v/>
      </c>
      <c r="S190" s="112" t="str">
        <f t="shared" si="38"/>
        <v/>
      </c>
      <c r="T190" s="112" t="str">
        <f t="shared" si="39"/>
        <v/>
      </c>
      <c r="U190" s="112" t="str">
        <f t="shared" si="40"/>
        <v/>
      </c>
      <c r="V190" s="112" t="str">
        <f t="shared" si="41"/>
        <v/>
      </c>
      <c r="W190" s="112" t="str">
        <f t="shared" si="42"/>
        <v/>
      </c>
      <c r="X190" s="112" t="str">
        <f t="shared" si="36"/>
        <v/>
      </c>
      <c r="Y190" s="112" t="str">
        <f t="shared" si="37"/>
        <v/>
      </c>
      <c r="Z190" s="112" t="str">
        <f t="shared" si="43"/>
        <v/>
      </c>
      <c r="AA190" s="112" t="str">
        <f t="shared" si="44"/>
        <v/>
      </c>
      <c r="AB190" s="112" t="str">
        <f t="shared" si="45"/>
        <v/>
      </c>
      <c r="AC190" s="112" t="str">
        <f t="shared" si="46"/>
        <v/>
      </c>
      <c r="AD190" s="112" t="str">
        <f t="shared" si="47"/>
        <v/>
      </c>
    </row>
    <row r="191" spans="1:30" x14ac:dyDescent="0.2">
      <c r="A191" s="112">
        <f>IF(SUM(Q191:R191)=1,1+MAX($A$1:A190),"")</f>
        <v>12</v>
      </c>
      <c r="B191" s="112" t="str">
        <f>IF(SUM(X191:Y191)=1,1+MAX($B$1:B190),"")</f>
        <v/>
      </c>
      <c r="C191" s="112" t="str">
        <f>IF(SUM(Q191:R191,X191:Y191)=2,1+MAX($C$1:C190),"")</f>
        <v/>
      </c>
      <c r="D191" s="113">
        <v>38878</v>
      </c>
      <c r="E191" s="112">
        <v>2006</v>
      </c>
      <c r="F191" s="112" t="s">
        <v>2684</v>
      </c>
      <c r="G191" s="112" t="s">
        <v>2685</v>
      </c>
      <c r="H191" s="114" t="s">
        <v>2545</v>
      </c>
      <c r="I191" s="112">
        <f t="shared" si="32"/>
        <v>1</v>
      </c>
      <c r="J191" s="112">
        <f t="shared" si="33"/>
        <v>0</v>
      </c>
      <c r="K191" s="115" t="s">
        <v>2709</v>
      </c>
      <c r="L191" s="115" t="s">
        <v>2769</v>
      </c>
      <c r="M191" s="115" t="s">
        <v>2616</v>
      </c>
      <c r="N191" s="115">
        <v>48000</v>
      </c>
      <c r="O191" s="112">
        <v>1</v>
      </c>
      <c r="P191" s="116" t="s">
        <v>2622</v>
      </c>
      <c r="Q191" s="112">
        <f t="shared" si="34"/>
        <v>1</v>
      </c>
      <c r="R191" s="112" t="str">
        <f t="shared" si="35"/>
        <v/>
      </c>
      <c r="S191" s="112">
        <f t="shared" si="38"/>
        <v>1</v>
      </c>
      <c r="T191" s="112">
        <f t="shared" si="39"/>
        <v>0</v>
      </c>
      <c r="U191" s="112">
        <f t="shared" si="40"/>
        <v>0</v>
      </c>
      <c r="V191" s="112">
        <f t="shared" si="41"/>
        <v>1</v>
      </c>
      <c r="W191" s="112">
        <f t="shared" si="42"/>
        <v>1</v>
      </c>
      <c r="X191" s="112" t="str">
        <f t="shared" si="36"/>
        <v/>
      </c>
      <c r="Y191" s="112" t="str">
        <f t="shared" si="37"/>
        <v/>
      </c>
      <c r="Z191" s="112" t="str">
        <f t="shared" si="43"/>
        <v/>
      </c>
      <c r="AA191" s="112" t="str">
        <f t="shared" si="44"/>
        <v/>
      </c>
      <c r="AB191" s="112" t="str">
        <f t="shared" si="45"/>
        <v/>
      </c>
      <c r="AC191" s="112" t="str">
        <f t="shared" si="46"/>
        <v/>
      </c>
      <c r="AD191" s="112" t="str">
        <f t="shared" si="47"/>
        <v/>
      </c>
    </row>
    <row r="192" spans="1:30" x14ac:dyDescent="0.2">
      <c r="A192" s="112" t="str">
        <f>IF(SUM(Q192:R192)=1,1+MAX($A$1:A191),"")</f>
        <v/>
      </c>
      <c r="B192" s="112" t="str">
        <f>IF(SUM(X192:Y192)=1,1+MAX($B$1:B191),"")</f>
        <v/>
      </c>
      <c r="C192" s="112" t="str">
        <f>IF(SUM(Q192:R192,X192:Y192)=2,1+MAX($C$1:C191),"")</f>
        <v/>
      </c>
      <c r="D192" s="113">
        <v>38877</v>
      </c>
      <c r="E192" s="112">
        <v>2006</v>
      </c>
      <c r="F192" s="112" t="s">
        <v>2689</v>
      </c>
      <c r="G192" s="112" t="s">
        <v>2690</v>
      </c>
      <c r="H192" s="114" t="s">
        <v>2655</v>
      </c>
      <c r="I192" s="112">
        <f t="shared" si="32"/>
        <v>2</v>
      </c>
      <c r="J192" s="112">
        <f t="shared" si="33"/>
        <v>0</v>
      </c>
      <c r="K192" s="115" t="s">
        <v>2544</v>
      </c>
      <c r="L192" s="115" t="s">
        <v>2771</v>
      </c>
      <c r="M192" s="115" t="s">
        <v>2766</v>
      </c>
      <c r="N192" s="115">
        <v>52000</v>
      </c>
      <c r="O192" s="112">
        <v>1</v>
      </c>
      <c r="P192" s="116" t="s">
        <v>2641</v>
      </c>
      <c r="Q192" s="112" t="str">
        <f t="shared" si="34"/>
        <v/>
      </c>
      <c r="R192" s="112" t="str">
        <f t="shared" si="35"/>
        <v/>
      </c>
      <c r="S192" s="112" t="str">
        <f t="shared" si="38"/>
        <v/>
      </c>
      <c r="T192" s="112" t="str">
        <f t="shared" si="39"/>
        <v/>
      </c>
      <c r="U192" s="112" t="str">
        <f t="shared" si="40"/>
        <v/>
      </c>
      <c r="V192" s="112" t="str">
        <f t="shared" si="41"/>
        <v/>
      </c>
      <c r="W192" s="112" t="str">
        <f t="shared" si="42"/>
        <v/>
      </c>
      <c r="X192" s="112" t="str">
        <f t="shared" si="36"/>
        <v/>
      </c>
      <c r="Y192" s="112" t="str">
        <f t="shared" si="37"/>
        <v/>
      </c>
      <c r="Z192" s="112" t="str">
        <f t="shared" si="43"/>
        <v/>
      </c>
      <c r="AA192" s="112" t="str">
        <f t="shared" si="44"/>
        <v/>
      </c>
      <c r="AB192" s="112" t="str">
        <f t="shared" si="45"/>
        <v/>
      </c>
      <c r="AC192" s="112" t="str">
        <f t="shared" si="46"/>
        <v/>
      </c>
      <c r="AD192" s="112" t="str">
        <f t="shared" si="47"/>
        <v/>
      </c>
    </row>
    <row r="193" spans="1:30" x14ac:dyDescent="0.2">
      <c r="A193" s="112" t="str">
        <f>IF(SUM(Q193:R193)=1,1+MAX($A$1:A192),"")</f>
        <v/>
      </c>
      <c r="B193" s="112" t="str">
        <f>IF(SUM(X193:Y193)=1,1+MAX($B$1:B192),"")</f>
        <v/>
      </c>
      <c r="C193" s="112" t="str">
        <f>IF(SUM(Q193:R193,X193:Y193)=2,1+MAX($C$1:C192),"")</f>
        <v/>
      </c>
      <c r="D193" s="113">
        <v>38877</v>
      </c>
      <c r="E193" s="112">
        <v>2006</v>
      </c>
      <c r="F193" s="112" t="s">
        <v>2689</v>
      </c>
      <c r="G193" s="112" t="s">
        <v>2690</v>
      </c>
      <c r="H193" s="114" t="s">
        <v>2550</v>
      </c>
      <c r="I193" s="112">
        <f t="shared" si="32"/>
        <v>2</v>
      </c>
      <c r="J193" s="112">
        <f t="shared" si="33"/>
        <v>4</v>
      </c>
      <c r="K193" s="115" t="s">
        <v>2547</v>
      </c>
      <c r="L193" s="115" t="s">
        <v>2767</v>
      </c>
      <c r="M193" s="115" t="s">
        <v>2764</v>
      </c>
      <c r="N193" s="115">
        <v>66000</v>
      </c>
      <c r="O193" s="112">
        <v>2</v>
      </c>
      <c r="P193" s="116" t="s">
        <v>2796</v>
      </c>
      <c r="Q193" s="112" t="str">
        <f t="shared" si="34"/>
        <v/>
      </c>
      <c r="R193" s="112" t="str">
        <f t="shared" si="35"/>
        <v/>
      </c>
      <c r="S193" s="112" t="str">
        <f t="shared" si="38"/>
        <v/>
      </c>
      <c r="T193" s="112" t="str">
        <f t="shared" si="39"/>
        <v/>
      </c>
      <c r="U193" s="112" t="str">
        <f t="shared" si="40"/>
        <v/>
      </c>
      <c r="V193" s="112" t="str">
        <f t="shared" si="41"/>
        <v/>
      </c>
      <c r="W193" s="112" t="str">
        <f t="shared" si="42"/>
        <v/>
      </c>
      <c r="X193" s="112" t="str">
        <f t="shared" si="36"/>
        <v/>
      </c>
      <c r="Y193" s="112" t="str">
        <f t="shared" si="37"/>
        <v/>
      </c>
      <c r="Z193" s="112" t="str">
        <f t="shared" si="43"/>
        <v/>
      </c>
      <c r="AA193" s="112" t="str">
        <f t="shared" si="44"/>
        <v/>
      </c>
      <c r="AB193" s="112" t="str">
        <f t="shared" si="45"/>
        <v/>
      </c>
      <c r="AC193" s="112" t="str">
        <f t="shared" si="46"/>
        <v/>
      </c>
      <c r="AD193" s="112" t="str">
        <f t="shared" si="47"/>
        <v/>
      </c>
    </row>
    <row r="194" spans="1:30" x14ac:dyDescent="0.2">
      <c r="A194" s="112" t="str">
        <f>IF(SUM(Q194:R194)=1,1+MAX($A$1:A193),"")</f>
        <v/>
      </c>
      <c r="B194" s="112" t="str">
        <f>IF(SUM(X194:Y194)=1,1+MAX($B$1:B193),"")</f>
        <v/>
      </c>
      <c r="C194" s="112" t="str">
        <f>IF(SUM(Q194:R194,X194:Y194)=2,1+MAX($C$1:C193),"")</f>
        <v/>
      </c>
      <c r="D194" s="113">
        <v>37437</v>
      </c>
      <c r="E194" s="112">
        <v>2002</v>
      </c>
      <c r="F194" s="112" t="s">
        <v>2597</v>
      </c>
      <c r="H194" s="114" t="s">
        <v>1442</v>
      </c>
      <c r="I194" s="112">
        <f t="shared" ref="I194:I257" si="48">INT(LEFT(P194,FIND("-",P194)-1))</f>
        <v>2</v>
      </c>
      <c r="J194" s="112">
        <f t="shared" ref="J194:J257" si="49">INT(RIGHT(P194,LEN(P194)-FIND("-",P194)-1))</f>
        <v>0</v>
      </c>
      <c r="K194" s="115" t="s">
        <v>2547</v>
      </c>
      <c r="L194" s="115" t="s">
        <v>2797</v>
      </c>
      <c r="M194" s="115" t="s">
        <v>2798</v>
      </c>
      <c r="N194" s="115">
        <v>69029</v>
      </c>
      <c r="O194" s="112">
        <v>2</v>
      </c>
      <c r="P194" s="116" t="s">
        <v>2641</v>
      </c>
      <c r="Q194" s="112" t="str">
        <f t="shared" ref="Q194:Q257" si="50">IF(H194=team1,1,"")</f>
        <v/>
      </c>
      <c r="R194" s="112" t="str">
        <f t="shared" ref="R194:R257" si="51">IF(K194=team1,1,"")</f>
        <v/>
      </c>
      <c r="S194" s="112" t="str">
        <f t="shared" si="38"/>
        <v/>
      </c>
      <c r="T194" s="112" t="str">
        <f t="shared" si="39"/>
        <v/>
      </c>
      <c r="U194" s="112" t="str">
        <f t="shared" si="40"/>
        <v/>
      </c>
      <c r="V194" s="112" t="str">
        <f t="shared" si="41"/>
        <v/>
      </c>
      <c r="W194" s="112" t="str">
        <f t="shared" si="42"/>
        <v/>
      </c>
      <c r="X194" s="112" t="str">
        <f t="shared" ref="X194:X257" si="52">IF(H194=team2,1,"")</f>
        <v/>
      </c>
      <c r="Y194" s="112" t="str">
        <f t="shared" ref="Y194:Y257" si="53">IF(K194=team2,1,"")</f>
        <v/>
      </c>
      <c r="Z194" s="112" t="str">
        <f t="shared" si="43"/>
        <v/>
      </c>
      <c r="AA194" s="112" t="str">
        <f t="shared" si="44"/>
        <v/>
      </c>
      <c r="AB194" s="112" t="str">
        <f t="shared" si="45"/>
        <v/>
      </c>
      <c r="AC194" s="112" t="str">
        <f t="shared" si="46"/>
        <v/>
      </c>
      <c r="AD194" s="112" t="str">
        <f t="shared" si="47"/>
        <v/>
      </c>
    </row>
    <row r="195" spans="1:30" x14ac:dyDescent="0.2">
      <c r="A195" s="112" t="str">
        <f>IF(SUM(Q195:R195)=1,1+MAX($A$1:A194),"")</f>
        <v/>
      </c>
      <c r="B195" s="112" t="str">
        <f>IF(SUM(X195:Y195)=1,1+MAX($B$1:B194),"")</f>
        <v/>
      </c>
      <c r="C195" s="112" t="str">
        <f>IF(SUM(Q195:R195,X195:Y195)=2,1+MAX($C$1:C194),"")</f>
        <v/>
      </c>
      <c r="D195" s="113">
        <v>37436</v>
      </c>
      <c r="E195" s="112">
        <v>2002</v>
      </c>
      <c r="F195" s="112" t="s">
        <v>2602</v>
      </c>
      <c r="H195" s="114" t="s">
        <v>2543</v>
      </c>
      <c r="I195" s="112">
        <f t="shared" si="48"/>
        <v>2</v>
      </c>
      <c r="J195" s="112">
        <f t="shared" si="49"/>
        <v>3</v>
      </c>
      <c r="K195" s="115" t="s">
        <v>2799</v>
      </c>
      <c r="L195" s="115" t="s">
        <v>2800</v>
      </c>
      <c r="M195" s="115" t="s">
        <v>2801</v>
      </c>
      <c r="N195" s="115">
        <v>63483</v>
      </c>
      <c r="O195" s="112">
        <v>2</v>
      </c>
      <c r="P195" s="116" t="s">
        <v>2706</v>
      </c>
      <c r="Q195" s="112" t="str">
        <f t="shared" si="50"/>
        <v/>
      </c>
      <c r="R195" s="112" t="str">
        <f t="shared" si="51"/>
        <v/>
      </c>
      <c r="S195" s="112" t="str">
        <f t="shared" ref="S195:S258" si="54">IF(Q195=1,IF($I195&gt;$J195,1,0),IF(R195=1,IF($I195&lt;$J195,1,0),""))</f>
        <v/>
      </c>
      <c r="T195" s="112" t="str">
        <f t="shared" ref="T195:T258" si="55">IF(Q195=1,IF($I195=$J195,1,0),IF(R195=1,IF($I195=$J195,1,0),""))</f>
        <v/>
      </c>
      <c r="U195" s="112" t="str">
        <f t="shared" ref="U195:U258" si="56">IF(Q195=1,IF($I195&lt;$J195,1,0),IF(R195=1,IF($I195&gt;$J195,1,0),""))</f>
        <v/>
      </c>
      <c r="V195" s="112" t="str">
        <f t="shared" ref="V195:V258" si="57">IF(SUM(Q195:R195)=1,$I195+$J195,"")</f>
        <v/>
      </c>
      <c r="W195" s="112" t="str">
        <f t="shared" ref="W195:W258" si="58">IF(Q195=1,$I195-$J195,IF(R195=1,-($I195-$J195),""))</f>
        <v/>
      </c>
      <c r="X195" s="112" t="str">
        <f t="shared" si="52"/>
        <v/>
      </c>
      <c r="Y195" s="112" t="str">
        <f t="shared" si="53"/>
        <v/>
      </c>
      <c r="Z195" s="112" t="str">
        <f t="shared" ref="Z195:Z258" si="59">IF(X195=1,IF($I195&gt;$J195,1,0),IF(Y195=1,IF($I195&lt;$J195,1,0),""))</f>
        <v/>
      </c>
      <c r="AA195" s="112" t="str">
        <f t="shared" ref="AA195:AA258" si="60">IF(X195=1,IF($I195=$J195,1,0),IF(Y195=1,IF($I195=$J195,1,0),""))</f>
        <v/>
      </c>
      <c r="AB195" s="112" t="str">
        <f t="shared" ref="AB195:AB258" si="61">IF(X195=1,IF($I195&lt;$J195,1,0),IF(Y195=1,IF($I195&gt;$J195,1,0),""))</f>
        <v/>
      </c>
      <c r="AC195" s="112" t="str">
        <f t="shared" ref="AC195:AC258" si="62">IF(SUM(X195:Y195)=1,$I195+$J195,"")</f>
        <v/>
      </c>
      <c r="AD195" s="112" t="str">
        <f t="shared" ref="AD195:AD258" si="63">IF(X195=1,$I195-$J195,IF(Y195=1,-($I195-$J195),""))</f>
        <v/>
      </c>
    </row>
    <row r="196" spans="1:30" x14ac:dyDescent="0.2">
      <c r="A196" s="112" t="str">
        <f>IF(SUM(Q196:R196)=1,1+MAX($A$1:A195),"")</f>
        <v/>
      </c>
      <c r="B196" s="112" t="str">
        <f>IF(SUM(X196:Y196)=1,1+MAX($B$1:B195),"")</f>
        <v/>
      </c>
      <c r="C196" s="112" t="str">
        <f>IF(SUM(Q196:R196,X196:Y196)=2,1+MAX($C$1:C195),"")</f>
        <v/>
      </c>
      <c r="D196" s="113">
        <v>37433</v>
      </c>
      <c r="E196" s="112">
        <v>2002</v>
      </c>
      <c r="F196" s="112" t="s">
        <v>2609</v>
      </c>
      <c r="H196" s="114" t="s">
        <v>1442</v>
      </c>
      <c r="I196" s="112">
        <f t="shared" si="48"/>
        <v>1</v>
      </c>
      <c r="J196" s="112">
        <f t="shared" si="49"/>
        <v>0</v>
      </c>
      <c r="K196" s="115" t="s">
        <v>2799</v>
      </c>
      <c r="L196" s="115" t="s">
        <v>2802</v>
      </c>
      <c r="M196" s="115" t="s">
        <v>2803</v>
      </c>
      <c r="N196" s="115">
        <v>61058</v>
      </c>
      <c r="O196" s="112">
        <v>2</v>
      </c>
      <c r="P196" s="116" t="s">
        <v>2622</v>
      </c>
      <c r="Q196" s="112" t="str">
        <f t="shared" si="50"/>
        <v/>
      </c>
      <c r="R196" s="112" t="str">
        <f t="shared" si="51"/>
        <v/>
      </c>
      <c r="S196" s="112" t="str">
        <f t="shared" si="54"/>
        <v/>
      </c>
      <c r="T196" s="112" t="str">
        <f t="shared" si="55"/>
        <v/>
      </c>
      <c r="U196" s="112" t="str">
        <f t="shared" si="56"/>
        <v/>
      </c>
      <c r="V196" s="112" t="str">
        <f t="shared" si="57"/>
        <v/>
      </c>
      <c r="W196" s="112" t="str">
        <f t="shared" si="58"/>
        <v/>
      </c>
      <c r="X196" s="112" t="str">
        <f t="shared" si="52"/>
        <v/>
      </c>
      <c r="Y196" s="112" t="str">
        <f t="shared" si="53"/>
        <v/>
      </c>
      <c r="Z196" s="112" t="str">
        <f t="shared" si="59"/>
        <v/>
      </c>
      <c r="AA196" s="112" t="str">
        <f t="shared" si="60"/>
        <v/>
      </c>
      <c r="AB196" s="112" t="str">
        <f t="shared" si="61"/>
        <v/>
      </c>
      <c r="AC196" s="112" t="str">
        <f t="shared" si="62"/>
        <v/>
      </c>
      <c r="AD196" s="112" t="str">
        <f t="shared" si="63"/>
        <v/>
      </c>
    </row>
    <row r="197" spans="1:30" x14ac:dyDescent="0.2">
      <c r="A197" s="112" t="str">
        <f>IF(SUM(Q197:R197)=1,1+MAX($A$1:A196),"")</f>
        <v/>
      </c>
      <c r="B197" s="112" t="str">
        <f>IF(SUM(X197:Y197)=1,1+MAX($B$1:B196),"")</f>
        <v/>
      </c>
      <c r="C197" s="112" t="str">
        <f>IF(SUM(Q197:R197,X197:Y197)=2,1+MAX($C$1:C196),"")</f>
        <v/>
      </c>
      <c r="D197" s="113">
        <v>37432</v>
      </c>
      <c r="E197" s="112">
        <v>2002</v>
      </c>
      <c r="F197" s="112" t="s">
        <v>2609</v>
      </c>
      <c r="H197" s="114" t="s">
        <v>2547</v>
      </c>
      <c r="I197" s="112">
        <f t="shared" si="48"/>
        <v>1</v>
      </c>
      <c r="J197" s="112">
        <f t="shared" si="49"/>
        <v>0</v>
      </c>
      <c r="K197" s="115" t="s">
        <v>2543</v>
      </c>
      <c r="L197" s="115" t="s">
        <v>2804</v>
      </c>
      <c r="M197" s="115" t="s">
        <v>2805</v>
      </c>
      <c r="N197" s="115">
        <v>65256</v>
      </c>
      <c r="O197" s="112">
        <v>2</v>
      </c>
      <c r="P197" s="116" t="s">
        <v>2622</v>
      </c>
      <c r="Q197" s="112" t="str">
        <f t="shared" si="50"/>
        <v/>
      </c>
      <c r="R197" s="112" t="str">
        <f t="shared" si="51"/>
        <v/>
      </c>
      <c r="S197" s="112" t="str">
        <f t="shared" si="54"/>
        <v/>
      </c>
      <c r="T197" s="112" t="str">
        <f t="shared" si="55"/>
        <v/>
      </c>
      <c r="U197" s="112" t="str">
        <f t="shared" si="56"/>
        <v/>
      </c>
      <c r="V197" s="112" t="str">
        <f t="shared" si="57"/>
        <v/>
      </c>
      <c r="W197" s="112" t="str">
        <f t="shared" si="58"/>
        <v/>
      </c>
      <c r="X197" s="112" t="str">
        <f t="shared" si="52"/>
        <v/>
      </c>
      <c r="Y197" s="112" t="str">
        <f t="shared" si="53"/>
        <v/>
      </c>
      <c r="Z197" s="112" t="str">
        <f t="shared" si="59"/>
        <v/>
      </c>
      <c r="AA197" s="112" t="str">
        <f t="shared" si="60"/>
        <v/>
      </c>
      <c r="AB197" s="112" t="str">
        <f t="shared" si="61"/>
        <v/>
      </c>
      <c r="AC197" s="112" t="str">
        <f t="shared" si="62"/>
        <v/>
      </c>
      <c r="AD197" s="112" t="str">
        <f t="shared" si="63"/>
        <v/>
      </c>
    </row>
    <row r="198" spans="1:30" x14ac:dyDescent="0.2">
      <c r="A198" s="112" t="str">
        <f>IF(SUM(Q198:R198)=1,1+MAX($A$1:A197),"")</f>
        <v/>
      </c>
      <c r="B198" s="112" t="str">
        <f>IF(SUM(X198:Y198)=1,1+MAX($B$1:B197),"")</f>
        <v/>
      </c>
      <c r="C198" s="112" t="str">
        <f>IF(SUM(Q198:R198,X198:Y198)=2,1+MAX($C$1:C197),"")</f>
        <v/>
      </c>
      <c r="D198" s="113">
        <v>37429</v>
      </c>
      <c r="E198" s="112">
        <v>2002</v>
      </c>
      <c r="F198" s="112" t="s">
        <v>2618</v>
      </c>
      <c r="H198" s="114" t="s">
        <v>2142</v>
      </c>
      <c r="I198" s="112">
        <f t="shared" si="48"/>
        <v>0</v>
      </c>
      <c r="J198" s="112">
        <f t="shared" si="49"/>
        <v>1</v>
      </c>
      <c r="K198" s="115" t="s">
        <v>2799</v>
      </c>
      <c r="L198" s="115" t="s">
        <v>2806</v>
      </c>
      <c r="M198" s="115" t="s">
        <v>2752</v>
      </c>
      <c r="N198" s="115">
        <v>44233</v>
      </c>
      <c r="O198" s="112">
        <v>2</v>
      </c>
      <c r="P198" s="116" t="s">
        <v>2601</v>
      </c>
      <c r="Q198" s="112" t="str">
        <f t="shared" si="50"/>
        <v/>
      </c>
      <c r="R198" s="112" t="str">
        <f t="shared" si="51"/>
        <v/>
      </c>
      <c r="S198" s="112" t="str">
        <f t="shared" si="54"/>
        <v/>
      </c>
      <c r="T198" s="112" t="str">
        <f t="shared" si="55"/>
        <v/>
      </c>
      <c r="U198" s="112" t="str">
        <f t="shared" si="56"/>
        <v/>
      </c>
      <c r="V198" s="112" t="str">
        <f t="shared" si="57"/>
        <v/>
      </c>
      <c r="W198" s="112" t="str">
        <f t="shared" si="58"/>
        <v/>
      </c>
      <c r="X198" s="112" t="str">
        <f t="shared" si="52"/>
        <v/>
      </c>
      <c r="Y198" s="112" t="str">
        <f t="shared" si="53"/>
        <v/>
      </c>
      <c r="Z198" s="112" t="str">
        <f t="shared" si="59"/>
        <v/>
      </c>
      <c r="AA198" s="112" t="str">
        <f t="shared" si="60"/>
        <v/>
      </c>
      <c r="AB198" s="112" t="str">
        <f t="shared" si="61"/>
        <v/>
      </c>
      <c r="AC198" s="112" t="str">
        <f t="shared" si="62"/>
        <v/>
      </c>
      <c r="AD198" s="112" t="str">
        <f t="shared" si="63"/>
        <v/>
      </c>
    </row>
    <row r="199" spans="1:30" x14ac:dyDescent="0.2">
      <c r="A199" s="112" t="str">
        <f>IF(SUM(Q199:R199)=1,1+MAX($A$1:A198),"")</f>
        <v/>
      </c>
      <c r="B199" s="112" t="str">
        <f>IF(SUM(X199:Y199)=1,1+MAX($B$1:B198),"")</f>
        <v/>
      </c>
      <c r="C199" s="112" t="str">
        <f>IF(SUM(Q199:R199,X199:Y199)=2,1+MAX($C$1:C198),"")</f>
        <v/>
      </c>
      <c r="D199" s="113">
        <v>37429</v>
      </c>
      <c r="E199" s="112">
        <v>2002</v>
      </c>
      <c r="F199" s="112" t="s">
        <v>2618</v>
      </c>
      <c r="H199" s="114" t="s">
        <v>2543</v>
      </c>
      <c r="I199" s="112">
        <f t="shared" si="48"/>
        <v>0</v>
      </c>
      <c r="J199" s="112">
        <f t="shared" si="49"/>
        <v>0</v>
      </c>
      <c r="K199" s="115" t="s">
        <v>2557</v>
      </c>
      <c r="L199" s="115" t="s">
        <v>2807</v>
      </c>
      <c r="M199" s="115" t="s">
        <v>2808</v>
      </c>
      <c r="N199" s="115">
        <v>42114</v>
      </c>
      <c r="O199" s="112">
        <v>2</v>
      </c>
      <c r="P199" s="116" t="s">
        <v>2613</v>
      </c>
      <c r="Q199" s="112" t="str">
        <f t="shared" si="50"/>
        <v/>
      </c>
      <c r="R199" s="112" t="str">
        <f t="shared" si="51"/>
        <v/>
      </c>
      <c r="S199" s="112" t="str">
        <f t="shared" si="54"/>
        <v/>
      </c>
      <c r="T199" s="112" t="str">
        <f t="shared" si="55"/>
        <v/>
      </c>
      <c r="U199" s="112" t="str">
        <f t="shared" si="56"/>
        <v/>
      </c>
      <c r="V199" s="112" t="str">
        <f t="shared" si="57"/>
        <v/>
      </c>
      <c r="W199" s="112" t="str">
        <f t="shared" si="58"/>
        <v/>
      </c>
      <c r="X199" s="112" t="str">
        <f t="shared" si="52"/>
        <v/>
      </c>
      <c r="Y199" s="112" t="str">
        <f t="shared" si="53"/>
        <v/>
      </c>
      <c r="Z199" s="112" t="str">
        <f t="shared" si="59"/>
        <v/>
      </c>
      <c r="AA199" s="112" t="str">
        <f t="shared" si="60"/>
        <v/>
      </c>
      <c r="AB199" s="112" t="str">
        <f t="shared" si="61"/>
        <v/>
      </c>
      <c r="AC199" s="112" t="str">
        <f t="shared" si="62"/>
        <v/>
      </c>
      <c r="AD199" s="112" t="str">
        <f t="shared" si="63"/>
        <v/>
      </c>
    </row>
    <row r="200" spans="1:30" x14ac:dyDescent="0.2">
      <c r="A200" s="112" t="str">
        <f>IF(SUM(Q200:R200)=1,1+MAX($A$1:A199),"")</f>
        <v/>
      </c>
      <c r="B200" s="112" t="str">
        <f>IF(SUM(X200:Y200)=1,1+MAX($B$1:B199),"")</f>
        <v/>
      </c>
      <c r="C200" s="112" t="str">
        <f>IF(SUM(Q200:R200,X200:Y200)=2,1+MAX($C$1:C199),"")</f>
        <v/>
      </c>
      <c r="D200" s="113">
        <v>37428</v>
      </c>
      <c r="E200" s="112">
        <v>2002</v>
      </c>
      <c r="F200" s="112" t="s">
        <v>2618</v>
      </c>
      <c r="H200" s="114" t="s">
        <v>2547</v>
      </c>
      <c r="I200" s="112">
        <f t="shared" si="48"/>
        <v>1</v>
      </c>
      <c r="J200" s="112">
        <f t="shared" si="49"/>
        <v>0</v>
      </c>
      <c r="K200" s="115" t="s">
        <v>2614</v>
      </c>
      <c r="L200" s="115" t="s">
        <v>2809</v>
      </c>
      <c r="M200" s="115" t="s">
        <v>2810</v>
      </c>
      <c r="N200" s="115">
        <v>37337</v>
      </c>
      <c r="O200" s="112">
        <v>3</v>
      </c>
      <c r="P200" s="116" t="s">
        <v>2622</v>
      </c>
      <c r="Q200" s="112" t="str">
        <f t="shared" si="50"/>
        <v/>
      </c>
      <c r="R200" s="112" t="str">
        <f t="shared" si="51"/>
        <v/>
      </c>
      <c r="S200" s="112" t="str">
        <f t="shared" si="54"/>
        <v/>
      </c>
      <c r="T200" s="112" t="str">
        <f t="shared" si="55"/>
        <v/>
      </c>
      <c r="U200" s="112" t="str">
        <f t="shared" si="56"/>
        <v/>
      </c>
      <c r="V200" s="112" t="str">
        <f t="shared" si="57"/>
        <v/>
      </c>
      <c r="W200" s="112" t="str">
        <f t="shared" si="58"/>
        <v/>
      </c>
      <c r="X200" s="112" t="str">
        <f t="shared" si="52"/>
        <v/>
      </c>
      <c r="Y200" s="112" t="str">
        <f t="shared" si="53"/>
        <v/>
      </c>
      <c r="Z200" s="112" t="str">
        <f t="shared" si="59"/>
        <v/>
      </c>
      <c r="AA200" s="112" t="str">
        <f t="shared" si="60"/>
        <v/>
      </c>
      <c r="AB200" s="112" t="str">
        <f t="shared" si="61"/>
        <v/>
      </c>
      <c r="AC200" s="112" t="str">
        <f t="shared" si="62"/>
        <v/>
      </c>
      <c r="AD200" s="112" t="str">
        <f t="shared" si="63"/>
        <v/>
      </c>
    </row>
    <row r="201" spans="1:30" x14ac:dyDescent="0.2">
      <c r="A201" s="112">
        <f>IF(SUM(Q201:R201)=1,1+MAX($A$1:A200),"")</f>
        <v>13</v>
      </c>
      <c r="B201" s="112" t="str">
        <f>IF(SUM(X201:Y201)=1,1+MAX($B$1:B200),"")</f>
        <v/>
      </c>
      <c r="C201" s="112" t="str">
        <f>IF(SUM(Q201:R201,X201:Y201)=2,1+MAX($C$1:C200),"")</f>
        <v/>
      </c>
      <c r="D201" s="113">
        <v>37428</v>
      </c>
      <c r="E201" s="112">
        <v>2002</v>
      </c>
      <c r="F201" s="112" t="s">
        <v>2618</v>
      </c>
      <c r="H201" s="114" t="s">
        <v>1442</v>
      </c>
      <c r="I201" s="112">
        <f t="shared" si="48"/>
        <v>2</v>
      </c>
      <c r="J201" s="112">
        <f t="shared" si="49"/>
        <v>1</v>
      </c>
      <c r="K201" s="115" t="s">
        <v>2545</v>
      </c>
      <c r="L201" s="115" t="s">
        <v>2811</v>
      </c>
      <c r="M201" s="115" t="s">
        <v>2812</v>
      </c>
      <c r="N201" s="115">
        <v>47436</v>
      </c>
      <c r="O201" s="112">
        <v>2</v>
      </c>
      <c r="P201" s="116" t="s">
        <v>2626</v>
      </c>
      <c r="Q201" s="112" t="str">
        <f t="shared" si="50"/>
        <v/>
      </c>
      <c r="R201" s="112">
        <f t="shared" si="51"/>
        <v>1</v>
      </c>
      <c r="S201" s="112">
        <f t="shared" si="54"/>
        <v>0</v>
      </c>
      <c r="T201" s="112">
        <f t="shared" si="55"/>
        <v>0</v>
      </c>
      <c r="U201" s="112">
        <f t="shared" si="56"/>
        <v>1</v>
      </c>
      <c r="V201" s="112">
        <f t="shared" si="57"/>
        <v>3</v>
      </c>
      <c r="W201" s="112">
        <f t="shared" si="58"/>
        <v>-1</v>
      </c>
      <c r="X201" s="112" t="str">
        <f t="shared" si="52"/>
        <v/>
      </c>
      <c r="Y201" s="112" t="str">
        <f t="shared" si="53"/>
        <v/>
      </c>
      <c r="Z201" s="112" t="str">
        <f t="shared" si="59"/>
        <v/>
      </c>
      <c r="AA201" s="112" t="str">
        <f t="shared" si="60"/>
        <v/>
      </c>
      <c r="AB201" s="112" t="str">
        <f t="shared" si="61"/>
        <v/>
      </c>
      <c r="AC201" s="112" t="str">
        <f t="shared" si="62"/>
        <v/>
      </c>
      <c r="AD201" s="112" t="str">
        <f t="shared" si="63"/>
        <v/>
      </c>
    </row>
    <row r="202" spans="1:30" x14ac:dyDescent="0.2">
      <c r="A202" s="112" t="str">
        <f>IF(SUM(Q202:R202)=1,1+MAX($A$1:A201),"")</f>
        <v/>
      </c>
      <c r="B202" s="112" t="str">
        <f>IF(SUM(X202:Y202)=1,1+MAX($B$1:B201),"")</f>
        <v/>
      </c>
      <c r="C202" s="112" t="str">
        <f>IF(SUM(Q202:R202,X202:Y202)=2,1+MAX($C$1:C201),"")</f>
        <v/>
      </c>
      <c r="D202" s="113">
        <v>37425</v>
      </c>
      <c r="E202" s="112">
        <v>2002</v>
      </c>
      <c r="F202" s="112" t="s">
        <v>2629</v>
      </c>
      <c r="H202" s="114" t="s">
        <v>2674</v>
      </c>
      <c r="I202" s="112">
        <f t="shared" si="48"/>
        <v>1</v>
      </c>
      <c r="J202" s="112">
        <f t="shared" si="49"/>
        <v>2</v>
      </c>
      <c r="K202" s="115" t="s">
        <v>2543</v>
      </c>
      <c r="L202" s="115" t="s">
        <v>2813</v>
      </c>
      <c r="M202" s="115" t="s">
        <v>2814</v>
      </c>
      <c r="N202" s="115">
        <v>38588</v>
      </c>
      <c r="O202" s="112">
        <v>2</v>
      </c>
      <c r="P202" s="116" t="s">
        <v>2638</v>
      </c>
      <c r="Q202" s="112" t="str">
        <f t="shared" si="50"/>
        <v/>
      </c>
      <c r="R202" s="112" t="str">
        <f t="shared" si="51"/>
        <v/>
      </c>
      <c r="S202" s="112" t="str">
        <f t="shared" si="54"/>
        <v/>
      </c>
      <c r="T202" s="112" t="str">
        <f t="shared" si="55"/>
        <v/>
      </c>
      <c r="U202" s="112" t="str">
        <f t="shared" si="56"/>
        <v/>
      </c>
      <c r="V202" s="112" t="str">
        <f t="shared" si="57"/>
        <v/>
      </c>
      <c r="W202" s="112" t="str">
        <f t="shared" si="58"/>
        <v/>
      </c>
      <c r="X202" s="112" t="str">
        <f t="shared" si="52"/>
        <v/>
      </c>
      <c r="Y202" s="112" t="str">
        <f t="shared" si="53"/>
        <v/>
      </c>
      <c r="Z202" s="112" t="str">
        <f t="shared" si="59"/>
        <v/>
      </c>
      <c r="AA202" s="112" t="str">
        <f t="shared" si="60"/>
        <v/>
      </c>
      <c r="AB202" s="112" t="str">
        <f t="shared" si="61"/>
        <v/>
      </c>
      <c r="AC202" s="112" t="str">
        <f t="shared" si="62"/>
        <v/>
      </c>
      <c r="AD202" s="112" t="str">
        <f t="shared" si="63"/>
        <v/>
      </c>
    </row>
    <row r="203" spans="1:30" x14ac:dyDescent="0.2">
      <c r="A203" s="112" t="str">
        <f>IF(SUM(Q203:R203)=1,1+MAX($A$1:A202),"")</f>
        <v/>
      </c>
      <c r="B203" s="112" t="str">
        <f>IF(SUM(X203:Y203)=1,1+MAX($B$1:B202),"")</f>
        <v/>
      </c>
      <c r="C203" s="112" t="str">
        <f>IF(SUM(Q203:R203,X203:Y203)=2,1+MAX($C$1:C202),"")</f>
        <v/>
      </c>
      <c r="D203" s="113">
        <v>37425</v>
      </c>
      <c r="E203" s="112">
        <v>2002</v>
      </c>
      <c r="F203" s="112" t="s">
        <v>2629</v>
      </c>
      <c r="H203" s="114" t="s">
        <v>1395</v>
      </c>
      <c r="I203" s="112">
        <f t="shared" si="48"/>
        <v>0</v>
      </c>
      <c r="J203" s="112">
        <f t="shared" si="49"/>
        <v>1</v>
      </c>
      <c r="K203" s="115" t="s">
        <v>2799</v>
      </c>
      <c r="L203" s="115" t="s">
        <v>2815</v>
      </c>
      <c r="M203" s="115" t="s">
        <v>2816</v>
      </c>
      <c r="N203" s="115">
        <v>45666</v>
      </c>
      <c r="O203" s="112">
        <v>2</v>
      </c>
      <c r="P203" s="116" t="s">
        <v>2601</v>
      </c>
      <c r="Q203" s="112" t="str">
        <f t="shared" si="50"/>
        <v/>
      </c>
      <c r="R203" s="112" t="str">
        <f t="shared" si="51"/>
        <v/>
      </c>
      <c r="S203" s="112" t="str">
        <f t="shared" si="54"/>
        <v/>
      </c>
      <c r="T203" s="112" t="str">
        <f t="shared" si="55"/>
        <v/>
      </c>
      <c r="U203" s="112" t="str">
        <f t="shared" si="56"/>
        <v/>
      </c>
      <c r="V203" s="112" t="str">
        <f t="shared" si="57"/>
        <v/>
      </c>
      <c r="W203" s="112" t="str">
        <f t="shared" si="58"/>
        <v/>
      </c>
      <c r="X203" s="112" t="str">
        <f t="shared" si="52"/>
        <v/>
      </c>
      <c r="Y203" s="112" t="str">
        <f t="shared" si="53"/>
        <v/>
      </c>
      <c r="Z203" s="112" t="str">
        <f t="shared" si="59"/>
        <v/>
      </c>
      <c r="AA203" s="112" t="str">
        <f t="shared" si="60"/>
        <v/>
      </c>
      <c r="AB203" s="112" t="str">
        <f t="shared" si="61"/>
        <v/>
      </c>
      <c r="AC203" s="112" t="str">
        <f t="shared" si="62"/>
        <v/>
      </c>
      <c r="AD203" s="112" t="str">
        <f t="shared" si="63"/>
        <v/>
      </c>
    </row>
    <row r="204" spans="1:30" x14ac:dyDescent="0.2">
      <c r="A204" s="112" t="str">
        <f>IF(SUM(Q204:R204)=1,1+MAX($A$1:A203),"")</f>
        <v/>
      </c>
      <c r="B204" s="112" t="str">
        <f>IF(SUM(X204:Y204)=1,1+MAX($B$1:B203),"")</f>
        <v/>
      </c>
      <c r="C204" s="112" t="str">
        <f>IF(SUM(Q204:R204,X204:Y204)=2,1+MAX($C$1:C203),"")</f>
        <v/>
      </c>
      <c r="D204" s="113">
        <v>37424</v>
      </c>
      <c r="E204" s="112">
        <v>2002</v>
      </c>
      <c r="F204" s="112" t="s">
        <v>2629</v>
      </c>
      <c r="H204" s="114" t="s">
        <v>2554</v>
      </c>
      <c r="I204" s="112">
        <f t="shared" si="48"/>
        <v>0</v>
      </c>
      <c r="J204" s="112">
        <f t="shared" si="49"/>
        <v>2</v>
      </c>
      <c r="K204" s="115" t="s">
        <v>1442</v>
      </c>
      <c r="L204" s="115" t="s">
        <v>2817</v>
      </c>
      <c r="M204" s="115" t="s">
        <v>2818</v>
      </c>
      <c r="N204" s="115">
        <v>40440</v>
      </c>
      <c r="O204" s="112">
        <v>2</v>
      </c>
      <c r="P204" s="116" t="s">
        <v>2687</v>
      </c>
      <c r="Q204" s="112" t="str">
        <f t="shared" si="50"/>
        <v/>
      </c>
      <c r="R204" s="112" t="str">
        <f t="shared" si="51"/>
        <v/>
      </c>
      <c r="S204" s="112" t="str">
        <f t="shared" si="54"/>
        <v/>
      </c>
      <c r="T204" s="112" t="str">
        <f t="shared" si="55"/>
        <v/>
      </c>
      <c r="U204" s="112" t="str">
        <f t="shared" si="56"/>
        <v/>
      </c>
      <c r="V204" s="112" t="str">
        <f t="shared" si="57"/>
        <v/>
      </c>
      <c r="W204" s="112" t="str">
        <f t="shared" si="58"/>
        <v/>
      </c>
      <c r="X204" s="112" t="str">
        <f t="shared" si="52"/>
        <v/>
      </c>
      <c r="Y204" s="112" t="str">
        <f t="shared" si="53"/>
        <v/>
      </c>
      <c r="Z204" s="112" t="str">
        <f t="shared" si="59"/>
        <v/>
      </c>
      <c r="AA204" s="112" t="str">
        <f t="shared" si="60"/>
        <v/>
      </c>
      <c r="AB204" s="112" t="str">
        <f t="shared" si="61"/>
        <v/>
      </c>
      <c r="AC204" s="112" t="str">
        <f t="shared" si="62"/>
        <v/>
      </c>
      <c r="AD204" s="112" t="str">
        <f t="shared" si="63"/>
        <v/>
      </c>
    </row>
    <row r="205" spans="1:30" x14ac:dyDescent="0.2">
      <c r="A205" s="112" t="str">
        <f>IF(SUM(Q205:R205)=1,1+MAX($A$1:A204),"")</f>
        <v/>
      </c>
      <c r="B205" s="112" t="str">
        <f>IF(SUM(X205:Y205)=1,1+MAX($B$1:B204),"")</f>
        <v/>
      </c>
      <c r="C205" s="112" t="str">
        <f>IF(SUM(Q205:R205,X205:Y205)=2,1+MAX($C$1:C204),"")</f>
        <v/>
      </c>
      <c r="D205" s="113">
        <v>37424</v>
      </c>
      <c r="E205" s="112">
        <v>2002</v>
      </c>
      <c r="F205" s="112" t="s">
        <v>2629</v>
      </c>
      <c r="H205" s="114" t="s">
        <v>1061</v>
      </c>
      <c r="I205" s="112">
        <f t="shared" si="48"/>
        <v>0</v>
      </c>
      <c r="J205" s="112">
        <f t="shared" si="49"/>
        <v>2</v>
      </c>
      <c r="K205" s="115" t="s">
        <v>2614</v>
      </c>
      <c r="L205" s="115" t="s">
        <v>2819</v>
      </c>
      <c r="M205" s="115" t="s">
        <v>2820</v>
      </c>
      <c r="N205" s="115">
        <v>36380</v>
      </c>
      <c r="O205" s="112">
        <v>3</v>
      </c>
      <c r="P205" s="116" t="s">
        <v>2687</v>
      </c>
      <c r="Q205" s="112" t="str">
        <f t="shared" si="50"/>
        <v/>
      </c>
      <c r="R205" s="112" t="str">
        <f t="shared" si="51"/>
        <v/>
      </c>
      <c r="S205" s="112" t="str">
        <f t="shared" si="54"/>
        <v/>
      </c>
      <c r="T205" s="112" t="str">
        <f t="shared" si="55"/>
        <v/>
      </c>
      <c r="U205" s="112" t="str">
        <f t="shared" si="56"/>
        <v/>
      </c>
      <c r="V205" s="112" t="str">
        <f t="shared" si="57"/>
        <v/>
      </c>
      <c r="W205" s="112" t="str">
        <f t="shared" si="58"/>
        <v/>
      </c>
      <c r="X205" s="112" t="str">
        <f t="shared" si="52"/>
        <v/>
      </c>
      <c r="Y205" s="112" t="str">
        <f t="shared" si="53"/>
        <v/>
      </c>
      <c r="Z205" s="112" t="str">
        <f t="shared" si="59"/>
        <v/>
      </c>
      <c r="AA205" s="112" t="str">
        <f t="shared" si="60"/>
        <v/>
      </c>
      <c r="AB205" s="112" t="str">
        <f t="shared" si="61"/>
        <v/>
      </c>
      <c r="AC205" s="112" t="str">
        <f t="shared" si="62"/>
        <v/>
      </c>
      <c r="AD205" s="112" t="str">
        <f t="shared" si="63"/>
        <v/>
      </c>
    </row>
    <row r="206" spans="1:30" x14ac:dyDescent="0.2">
      <c r="A206" s="112" t="str">
        <f>IF(SUM(Q206:R206)=1,1+MAX($A$1:A205),"")</f>
        <v/>
      </c>
      <c r="B206" s="112" t="str">
        <f>IF(SUM(X206:Y206)=1,1+MAX($B$1:B205),"")</f>
        <v/>
      </c>
      <c r="C206" s="112" t="str">
        <f>IF(SUM(Q206:R206,X206:Y206)=2,1+MAX($C$1:C205),"")</f>
        <v/>
      </c>
      <c r="D206" s="113">
        <v>37423</v>
      </c>
      <c r="E206" s="112">
        <v>2002</v>
      </c>
      <c r="F206" s="112" t="s">
        <v>2629</v>
      </c>
      <c r="H206" s="114" t="s">
        <v>2676</v>
      </c>
      <c r="I206" s="112">
        <f t="shared" si="48"/>
        <v>1</v>
      </c>
      <c r="J206" s="112">
        <f t="shared" si="49"/>
        <v>1</v>
      </c>
      <c r="K206" s="115" t="s">
        <v>2557</v>
      </c>
      <c r="L206" s="115" t="s">
        <v>2821</v>
      </c>
      <c r="M206" s="115" t="s">
        <v>2822</v>
      </c>
      <c r="N206" s="115">
        <v>38926</v>
      </c>
      <c r="O206" s="112">
        <v>2</v>
      </c>
      <c r="P206" s="116" t="s">
        <v>2645</v>
      </c>
      <c r="Q206" s="112" t="str">
        <f t="shared" si="50"/>
        <v/>
      </c>
      <c r="R206" s="112" t="str">
        <f t="shared" si="51"/>
        <v/>
      </c>
      <c r="S206" s="112" t="str">
        <f t="shared" si="54"/>
        <v/>
      </c>
      <c r="T206" s="112" t="str">
        <f t="shared" si="55"/>
        <v/>
      </c>
      <c r="U206" s="112" t="str">
        <f t="shared" si="56"/>
        <v/>
      </c>
      <c r="V206" s="112" t="str">
        <f t="shared" si="57"/>
        <v/>
      </c>
      <c r="W206" s="112" t="str">
        <f t="shared" si="58"/>
        <v/>
      </c>
      <c r="X206" s="112" t="str">
        <f t="shared" si="52"/>
        <v/>
      </c>
      <c r="Y206" s="112" t="str">
        <f t="shared" si="53"/>
        <v/>
      </c>
      <c r="Z206" s="112" t="str">
        <f t="shared" si="59"/>
        <v/>
      </c>
      <c r="AA206" s="112" t="str">
        <f t="shared" si="60"/>
        <v/>
      </c>
      <c r="AB206" s="112" t="str">
        <f t="shared" si="61"/>
        <v/>
      </c>
      <c r="AC206" s="112" t="str">
        <f t="shared" si="62"/>
        <v/>
      </c>
      <c r="AD206" s="112" t="str">
        <f t="shared" si="63"/>
        <v/>
      </c>
    </row>
    <row r="207" spans="1:30" x14ac:dyDescent="0.2">
      <c r="A207" s="112" t="str">
        <f>IF(SUM(Q207:R207)=1,1+MAX($A$1:A206),"")</f>
        <v/>
      </c>
      <c r="B207" s="112" t="str">
        <f>IF(SUM(X207:Y207)=1,1+MAX($B$1:B206),"")</f>
        <v/>
      </c>
      <c r="C207" s="112" t="str">
        <f>IF(SUM(Q207:R207,X207:Y207)=2,1+MAX($C$1:C206),"")</f>
        <v/>
      </c>
      <c r="D207" s="113">
        <v>37423</v>
      </c>
      <c r="E207" s="112">
        <v>2002</v>
      </c>
      <c r="F207" s="112" t="s">
        <v>2629</v>
      </c>
      <c r="H207" s="114" t="s">
        <v>2142</v>
      </c>
      <c r="I207" s="112">
        <f t="shared" si="48"/>
        <v>2</v>
      </c>
      <c r="J207" s="112">
        <f t="shared" si="49"/>
        <v>1</v>
      </c>
      <c r="K207" s="115" t="s">
        <v>2549</v>
      </c>
      <c r="L207" s="115" t="s">
        <v>2823</v>
      </c>
      <c r="M207" s="115" t="s">
        <v>2824</v>
      </c>
      <c r="N207" s="115">
        <v>39747</v>
      </c>
      <c r="O207" s="112">
        <v>2</v>
      </c>
      <c r="P207" s="116" t="s">
        <v>2626</v>
      </c>
      <c r="Q207" s="112" t="str">
        <f t="shared" si="50"/>
        <v/>
      </c>
      <c r="R207" s="112" t="str">
        <f t="shared" si="51"/>
        <v/>
      </c>
      <c r="S207" s="112" t="str">
        <f t="shared" si="54"/>
        <v/>
      </c>
      <c r="T207" s="112" t="str">
        <f t="shared" si="55"/>
        <v/>
      </c>
      <c r="U207" s="112" t="str">
        <f t="shared" si="56"/>
        <v/>
      </c>
      <c r="V207" s="112" t="str">
        <f t="shared" si="57"/>
        <v/>
      </c>
      <c r="W207" s="112" t="str">
        <f t="shared" si="58"/>
        <v/>
      </c>
      <c r="X207" s="112" t="str">
        <f t="shared" si="52"/>
        <v/>
      </c>
      <c r="Y207" s="112" t="str">
        <f t="shared" si="53"/>
        <v/>
      </c>
      <c r="Z207" s="112" t="str">
        <f t="shared" si="59"/>
        <v/>
      </c>
      <c r="AA207" s="112" t="str">
        <f t="shared" si="60"/>
        <v/>
      </c>
      <c r="AB207" s="112" t="str">
        <f t="shared" si="61"/>
        <v/>
      </c>
      <c r="AC207" s="112" t="str">
        <f t="shared" si="62"/>
        <v/>
      </c>
      <c r="AD207" s="112" t="str">
        <f t="shared" si="63"/>
        <v/>
      </c>
    </row>
    <row r="208" spans="1:30" x14ac:dyDescent="0.2">
      <c r="A208" s="112">
        <f>IF(SUM(Q208:R208)=1,1+MAX($A$1:A207),"")</f>
        <v>14</v>
      </c>
      <c r="B208" s="112" t="str">
        <f>IF(SUM(X208:Y208)=1,1+MAX($B$1:B207),"")</f>
        <v/>
      </c>
      <c r="C208" s="112" t="str">
        <f>IF(SUM(Q208:R208,X208:Y208)=2,1+MAX($C$1:C207),"")</f>
        <v/>
      </c>
      <c r="D208" s="113">
        <v>37422</v>
      </c>
      <c r="E208" s="112">
        <v>2002</v>
      </c>
      <c r="F208" s="112" t="s">
        <v>2629</v>
      </c>
      <c r="H208" s="114" t="s">
        <v>2548</v>
      </c>
      <c r="I208" s="112">
        <f t="shared" si="48"/>
        <v>0</v>
      </c>
      <c r="J208" s="112">
        <f t="shared" si="49"/>
        <v>3</v>
      </c>
      <c r="K208" s="115" t="s">
        <v>2545</v>
      </c>
      <c r="L208" s="115" t="s">
        <v>2825</v>
      </c>
      <c r="M208" s="115" t="s">
        <v>2787</v>
      </c>
      <c r="N208" s="115">
        <v>40582</v>
      </c>
      <c r="O208" s="112">
        <v>2</v>
      </c>
      <c r="P208" s="116" t="s">
        <v>2607</v>
      </c>
      <c r="Q208" s="112" t="str">
        <f t="shared" si="50"/>
        <v/>
      </c>
      <c r="R208" s="112">
        <f t="shared" si="51"/>
        <v>1</v>
      </c>
      <c r="S208" s="112">
        <f t="shared" si="54"/>
        <v>1</v>
      </c>
      <c r="T208" s="112">
        <f t="shared" si="55"/>
        <v>0</v>
      </c>
      <c r="U208" s="112">
        <f t="shared" si="56"/>
        <v>0</v>
      </c>
      <c r="V208" s="112">
        <f t="shared" si="57"/>
        <v>3</v>
      </c>
      <c r="W208" s="112">
        <f t="shared" si="58"/>
        <v>3</v>
      </c>
      <c r="X208" s="112" t="str">
        <f t="shared" si="52"/>
        <v/>
      </c>
      <c r="Y208" s="112" t="str">
        <f t="shared" si="53"/>
        <v/>
      </c>
      <c r="Z208" s="112" t="str">
        <f t="shared" si="59"/>
        <v/>
      </c>
      <c r="AA208" s="112" t="str">
        <f t="shared" si="60"/>
        <v/>
      </c>
      <c r="AB208" s="112" t="str">
        <f t="shared" si="61"/>
        <v/>
      </c>
      <c r="AC208" s="112" t="str">
        <f t="shared" si="62"/>
        <v/>
      </c>
      <c r="AD208" s="112" t="str">
        <f t="shared" si="63"/>
        <v/>
      </c>
    </row>
    <row r="209" spans="1:30" x14ac:dyDescent="0.2">
      <c r="A209" s="112" t="str">
        <f>IF(SUM(Q209:R209)=1,1+MAX($A$1:A208),"")</f>
        <v/>
      </c>
      <c r="B209" s="112" t="str">
        <f>IF(SUM(X209:Y209)=1,1+MAX($B$1:B208),"")</f>
        <v/>
      </c>
      <c r="C209" s="112" t="str">
        <f>IF(SUM(Q209:R209,X209:Y209)=2,1+MAX($C$1:C208),"")</f>
        <v/>
      </c>
      <c r="D209" s="113">
        <v>37422</v>
      </c>
      <c r="E209" s="112">
        <v>2002</v>
      </c>
      <c r="F209" s="112" t="s">
        <v>2629</v>
      </c>
      <c r="H209" s="114" t="s">
        <v>2547</v>
      </c>
      <c r="I209" s="112">
        <f t="shared" si="48"/>
        <v>1</v>
      </c>
      <c r="J209" s="112">
        <f t="shared" si="49"/>
        <v>0</v>
      </c>
      <c r="K209" s="115" t="s">
        <v>2709</v>
      </c>
      <c r="L209" s="115" t="s">
        <v>2826</v>
      </c>
      <c r="M209" s="115" t="s">
        <v>2731</v>
      </c>
      <c r="N209" s="115">
        <v>25176</v>
      </c>
      <c r="O209" s="112">
        <v>3</v>
      </c>
      <c r="P209" s="116" t="s">
        <v>2622</v>
      </c>
      <c r="Q209" s="112" t="str">
        <f t="shared" si="50"/>
        <v/>
      </c>
      <c r="R209" s="112" t="str">
        <f t="shared" si="51"/>
        <v/>
      </c>
      <c r="S209" s="112" t="str">
        <f t="shared" si="54"/>
        <v/>
      </c>
      <c r="T209" s="112" t="str">
        <f t="shared" si="55"/>
        <v/>
      </c>
      <c r="U209" s="112" t="str">
        <f t="shared" si="56"/>
        <v/>
      </c>
      <c r="V209" s="112" t="str">
        <f t="shared" si="57"/>
        <v/>
      </c>
      <c r="W209" s="112" t="str">
        <f t="shared" si="58"/>
        <v/>
      </c>
      <c r="X209" s="112" t="str">
        <f t="shared" si="52"/>
        <v/>
      </c>
      <c r="Y209" s="112" t="str">
        <f t="shared" si="53"/>
        <v/>
      </c>
      <c r="Z209" s="112" t="str">
        <f t="shared" si="59"/>
        <v/>
      </c>
      <c r="AA209" s="112" t="str">
        <f t="shared" si="60"/>
        <v/>
      </c>
      <c r="AB209" s="112" t="str">
        <f t="shared" si="61"/>
        <v/>
      </c>
      <c r="AC209" s="112" t="str">
        <f t="shared" si="62"/>
        <v/>
      </c>
      <c r="AD209" s="112" t="str">
        <f t="shared" si="63"/>
        <v/>
      </c>
    </row>
    <row r="210" spans="1:30" x14ac:dyDescent="0.2">
      <c r="A210" s="112" t="str">
        <f>IF(SUM(Q210:R210)=1,1+MAX($A$1:A209),"")</f>
        <v/>
      </c>
      <c r="B210" s="112" t="str">
        <f>IF(SUM(X210:Y210)=1,1+MAX($B$1:B209),"")</f>
        <v/>
      </c>
      <c r="C210" s="112" t="str">
        <f>IF(SUM(Q210:R210,X210:Y210)=2,1+MAX($C$1:C209),"")</f>
        <v/>
      </c>
      <c r="D210" s="113">
        <v>37421</v>
      </c>
      <c r="E210" s="112">
        <v>2002</v>
      </c>
      <c r="F210" s="112" t="s">
        <v>2652</v>
      </c>
      <c r="G210" s="112" t="s">
        <v>2653</v>
      </c>
      <c r="H210" s="114" t="s">
        <v>2554</v>
      </c>
      <c r="I210" s="112">
        <f t="shared" si="48"/>
        <v>3</v>
      </c>
      <c r="J210" s="112">
        <f t="shared" si="49"/>
        <v>2</v>
      </c>
      <c r="K210" s="115" t="s">
        <v>2546</v>
      </c>
      <c r="L210" s="115" t="s">
        <v>2811</v>
      </c>
      <c r="M210" s="115" t="s">
        <v>2803</v>
      </c>
      <c r="N210" s="115">
        <v>46640</v>
      </c>
      <c r="O210" s="112">
        <v>2</v>
      </c>
      <c r="P210" s="116" t="s">
        <v>2664</v>
      </c>
      <c r="Q210" s="112" t="str">
        <f t="shared" si="50"/>
        <v/>
      </c>
      <c r="R210" s="112" t="str">
        <f t="shared" si="51"/>
        <v/>
      </c>
      <c r="S210" s="112" t="str">
        <f t="shared" si="54"/>
        <v/>
      </c>
      <c r="T210" s="112" t="str">
        <f t="shared" si="55"/>
        <v/>
      </c>
      <c r="U210" s="112" t="str">
        <f t="shared" si="56"/>
        <v/>
      </c>
      <c r="V210" s="112" t="str">
        <f t="shared" si="57"/>
        <v/>
      </c>
      <c r="W210" s="112" t="str">
        <f t="shared" si="58"/>
        <v/>
      </c>
      <c r="X210" s="112" t="str">
        <f t="shared" si="52"/>
        <v/>
      </c>
      <c r="Y210" s="112" t="str">
        <f t="shared" si="53"/>
        <v/>
      </c>
      <c r="Z210" s="112" t="str">
        <f t="shared" si="59"/>
        <v/>
      </c>
      <c r="AA210" s="112" t="str">
        <f t="shared" si="60"/>
        <v/>
      </c>
      <c r="AB210" s="112" t="str">
        <f t="shared" si="61"/>
        <v/>
      </c>
      <c r="AC210" s="112" t="str">
        <f t="shared" si="62"/>
        <v/>
      </c>
      <c r="AD210" s="112" t="str">
        <f t="shared" si="63"/>
        <v/>
      </c>
    </row>
    <row r="211" spans="1:30" x14ac:dyDescent="0.2">
      <c r="A211" s="112" t="str">
        <f>IF(SUM(Q211:R211)=1,1+MAX($A$1:A210),"")</f>
        <v/>
      </c>
      <c r="B211" s="112" t="str">
        <f>IF(SUM(X211:Y211)=1,1+MAX($B$1:B210),"")</f>
        <v/>
      </c>
      <c r="C211" s="112" t="str">
        <f>IF(SUM(Q211:R211,X211:Y211)=2,1+MAX($C$1:C210),"")</f>
        <v/>
      </c>
      <c r="D211" s="113">
        <v>37421</v>
      </c>
      <c r="E211" s="112">
        <v>2002</v>
      </c>
      <c r="F211" s="112" t="s">
        <v>2652</v>
      </c>
      <c r="G211" s="112" t="s">
        <v>2653</v>
      </c>
      <c r="H211" s="114" t="s">
        <v>1395</v>
      </c>
      <c r="I211" s="112">
        <f t="shared" si="48"/>
        <v>2</v>
      </c>
      <c r="J211" s="112">
        <f t="shared" si="49"/>
        <v>0</v>
      </c>
      <c r="K211" s="115" t="s">
        <v>2388</v>
      </c>
      <c r="L211" s="115" t="s">
        <v>2806</v>
      </c>
      <c r="M211" s="115" t="s">
        <v>2827</v>
      </c>
      <c r="N211" s="115">
        <v>45213</v>
      </c>
      <c r="O211" s="112">
        <v>2</v>
      </c>
      <c r="P211" s="116" t="s">
        <v>2641</v>
      </c>
      <c r="Q211" s="112" t="str">
        <f t="shared" si="50"/>
        <v/>
      </c>
      <c r="R211" s="112" t="str">
        <f t="shared" si="51"/>
        <v/>
      </c>
      <c r="S211" s="112" t="str">
        <f t="shared" si="54"/>
        <v/>
      </c>
      <c r="T211" s="112" t="str">
        <f t="shared" si="55"/>
        <v/>
      </c>
      <c r="U211" s="112" t="str">
        <f t="shared" si="56"/>
        <v/>
      </c>
      <c r="V211" s="112" t="str">
        <f t="shared" si="57"/>
        <v/>
      </c>
      <c r="W211" s="112" t="str">
        <f t="shared" si="58"/>
        <v/>
      </c>
      <c r="X211" s="112" t="str">
        <f t="shared" si="52"/>
        <v/>
      </c>
      <c r="Y211" s="112" t="str">
        <f t="shared" si="53"/>
        <v/>
      </c>
      <c r="Z211" s="112" t="str">
        <f t="shared" si="59"/>
        <v/>
      </c>
      <c r="AA211" s="112" t="str">
        <f t="shared" si="60"/>
        <v/>
      </c>
      <c r="AB211" s="112" t="str">
        <f t="shared" si="61"/>
        <v/>
      </c>
      <c r="AC211" s="112" t="str">
        <f t="shared" si="62"/>
        <v/>
      </c>
      <c r="AD211" s="112" t="str">
        <f t="shared" si="63"/>
        <v/>
      </c>
    </row>
    <row r="212" spans="1:30" x14ac:dyDescent="0.2">
      <c r="A212" s="112" t="str">
        <f>IF(SUM(Q212:R212)=1,1+MAX($A$1:A211),"")</f>
        <v/>
      </c>
      <c r="B212" s="112" t="str">
        <f>IF(SUM(X212:Y212)=1,1+MAX($B$1:B211),"")</f>
        <v/>
      </c>
      <c r="C212" s="112" t="str">
        <f>IF(SUM(Q212:R212,X212:Y212)=2,1+MAX($C$1:C211),"")</f>
        <v/>
      </c>
      <c r="D212" s="113">
        <v>37421</v>
      </c>
      <c r="E212" s="112">
        <v>2002</v>
      </c>
      <c r="F212" s="112" t="s">
        <v>2672</v>
      </c>
      <c r="G212" s="112" t="s">
        <v>2673</v>
      </c>
      <c r="H212" s="114" t="s">
        <v>2544</v>
      </c>
      <c r="I212" s="112">
        <f t="shared" si="48"/>
        <v>3</v>
      </c>
      <c r="J212" s="112">
        <f t="shared" si="49"/>
        <v>1</v>
      </c>
      <c r="K212" s="115" t="s">
        <v>2614</v>
      </c>
      <c r="L212" s="115" t="s">
        <v>2813</v>
      </c>
      <c r="M212" s="115" t="s">
        <v>2828</v>
      </c>
      <c r="N212" s="115">
        <v>26482</v>
      </c>
      <c r="O212" s="112">
        <v>3</v>
      </c>
      <c r="P212" s="116" t="s">
        <v>2663</v>
      </c>
      <c r="Q212" s="112" t="str">
        <f t="shared" si="50"/>
        <v/>
      </c>
      <c r="R212" s="112" t="str">
        <f t="shared" si="51"/>
        <v/>
      </c>
      <c r="S212" s="112" t="str">
        <f t="shared" si="54"/>
        <v/>
      </c>
      <c r="T212" s="112" t="str">
        <f t="shared" si="55"/>
        <v/>
      </c>
      <c r="U212" s="112" t="str">
        <f t="shared" si="56"/>
        <v/>
      </c>
      <c r="V212" s="112" t="str">
        <f t="shared" si="57"/>
        <v/>
      </c>
      <c r="W212" s="112" t="str">
        <f t="shared" si="58"/>
        <v/>
      </c>
      <c r="X212" s="112" t="str">
        <f t="shared" si="52"/>
        <v/>
      </c>
      <c r="Y212" s="112" t="str">
        <f t="shared" si="53"/>
        <v/>
      </c>
      <c r="Z212" s="112" t="str">
        <f t="shared" si="59"/>
        <v/>
      </c>
      <c r="AA212" s="112" t="str">
        <f t="shared" si="60"/>
        <v/>
      </c>
      <c r="AB212" s="112" t="str">
        <f t="shared" si="61"/>
        <v/>
      </c>
      <c r="AC212" s="112" t="str">
        <f t="shared" si="62"/>
        <v/>
      </c>
      <c r="AD212" s="112" t="str">
        <f t="shared" si="63"/>
        <v/>
      </c>
    </row>
    <row r="213" spans="1:30" x14ac:dyDescent="0.2">
      <c r="A213" s="112" t="str">
        <f>IF(SUM(Q213:R213)=1,1+MAX($A$1:A212),"")</f>
        <v/>
      </c>
      <c r="B213" s="112" t="str">
        <f>IF(SUM(X213:Y213)=1,1+MAX($B$1:B212),"")</f>
        <v/>
      </c>
      <c r="C213" s="112" t="str">
        <f>IF(SUM(Q213:R213,X213:Y213)=2,1+MAX($C$1:C212),"")</f>
        <v/>
      </c>
      <c r="D213" s="113">
        <v>37421</v>
      </c>
      <c r="E213" s="112">
        <v>2002</v>
      </c>
      <c r="F213" s="112" t="s">
        <v>2672</v>
      </c>
      <c r="G213" s="112" t="s">
        <v>2673</v>
      </c>
      <c r="H213" s="114" t="s">
        <v>2556</v>
      </c>
      <c r="I213" s="112">
        <f t="shared" si="48"/>
        <v>0</v>
      </c>
      <c r="J213" s="112">
        <f t="shared" si="49"/>
        <v>1</v>
      </c>
      <c r="K213" s="115" t="s">
        <v>2543</v>
      </c>
      <c r="L213" s="115" t="s">
        <v>2829</v>
      </c>
      <c r="M213" s="115" t="s">
        <v>2830</v>
      </c>
      <c r="N213" s="115">
        <v>50239</v>
      </c>
      <c r="O213" s="112">
        <v>2</v>
      </c>
      <c r="P213" s="116" t="s">
        <v>2601</v>
      </c>
      <c r="Q213" s="112" t="str">
        <f t="shared" si="50"/>
        <v/>
      </c>
      <c r="R213" s="112" t="str">
        <f t="shared" si="51"/>
        <v/>
      </c>
      <c r="S213" s="112" t="str">
        <f t="shared" si="54"/>
        <v/>
      </c>
      <c r="T213" s="112" t="str">
        <f t="shared" si="55"/>
        <v/>
      </c>
      <c r="U213" s="112" t="str">
        <f t="shared" si="56"/>
        <v/>
      </c>
      <c r="V213" s="112" t="str">
        <f t="shared" si="57"/>
        <v/>
      </c>
      <c r="W213" s="112" t="str">
        <f t="shared" si="58"/>
        <v/>
      </c>
      <c r="X213" s="112" t="str">
        <f t="shared" si="52"/>
        <v/>
      </c>
      <c r="Y213" s="112" t="str">
        <f t="shared" si="53"/>
        <v/>
      </c>
      <c r="Z213" s="112" t="str">
        <f t="shared" si="59"/>
        <v/>
      </c>
      <c r="AA213" s="112" t="str">
        <f t="shared" si="60"/>
        <v/>
      </c>
      <c r="AB213" s="112" t="str">
        <f t="shared" si="61"/>
        <v/>
      </c>
      <c r="AC213" s="112" t="str">
        <f t="shared" si="62"/>
        <v/>
      </c>
      <c r="AD213" s="112" t="str">
        <f t="shared" si="63"/>
        <v/>
      </c>
    </row>
    <row r="214" spans="1:30" x14ac:dyDescent="0.2">
      <c r="A214" s="112" t="str">
        <f>IF(SUM(Q214:R214)=1,1+MAX($A$1:A213),"")</f>
        <v/>
      </c>
      <c r="B214" s="112" t="str">
        <f>IF(SUM(X214:Y214)=1,1+MAX($B$1:B213),"")</f>
        <v/>
      </c>
      <c r="C214" s="112" t="str">
        <f>IF(SUM(Q214:R214,X214:Y214)=2,1+MAX($C$1:C213),"")</f>
        <v/>
      </c>
      <c r="D214" s="113">
        <v>37420</v>
      </c>
      <c r="E214" s="112">
        <v>2002</v>
      </c>
      <c r="F214" s="112" t="s">
        <v>2656</v>
      </c>
      <c r="G214" s="112" t="s">
        <v>2657</v>
      </c>
      <c r="H214" s="114" t="s">
        <v>1024</v>
      </c>
      <c r="I214" s="112">
        <f t="shared" si="48"/>
        <v>0</v>
      </c>
      <c r="J214" s="112">
        <f t="shared" si="49"/>
        <v>1</v>
      </c>
      <c r="K214" s="115" t="s">
        <v>2655</v>
      </c>
      <c r="L214" s="115" t="s">
        <v>2797</v>
      </c>
      <c r="M214" s="115" t="s">
        <v>2831</v>
      </c>
      <c r="N214" s="115">
        <v>65862</v>
      </c>
      <c r="O214" s="112">
        <v>2</v>
      </c>
      <c r="P214" s="116" t="s">
        <v>2601</v>
      </c>
      <c r="Q214" s="112" t="str">
        <f t="shared" si="50"/>
        <v/>
      </c>
      <c r="R214" s="112" t="str">
        <f t="shared" si="51"/>
        <v/>
      </c>
      <c r="S214" s="112" t="str">
        <f t="shared" si="54"/>
        <v/>
      </c>
      <c r="T214" s="112" t="str">
        <f t="shared" si="55"/>
        <v/>
      </c>
      <c r="U214" s="112" t="str">
        <f t="shared" si="56"/>
        <v/>
      </c>
      <c r="V214" s="112" t="str">
        <f t="shared" si="57"/>
        <v/>
      </c>
      <c r="W214" s="112" t="str">
        <f t="shared" si="58"/>
        <v/>
      </c>
      <c r="X214" s="112" t="str">
        <f t="shared" si="52"/>
        <v/>
      </c>
      <c r="Y214" s="112" t="str">
        <f t="shared" si="53"/>
        <v/>
      </c>
      <c r="Z214" s="112" t="str">
        <f t="shared" si="59"/>
        <v/>
      </c>
      <c r="AA214" s="112" t="str">
        <f t="shared" si="60"/>
        <v/>
      </c>
      <c r="AB214" s="112" t="str">
        <f t="shared" si="61"/>
        <v/>
      </c>
      <c r="AC214" s="112" t="str">
        <f t="shared" si="62"/>
        <v/>
      </c>
      <c r="AD214" s="112" t="str">
        <f t="shared" si="63"/>
        <v/>
      </c>
    </row>
    <row r="215" spans="1:30" x14ac:dyDescent="0.2">
      <c r="A215" s="112" t="str">
        <f>IF(SUM(Q215:R215)=1,1+MAX($A$1:A214),"")</f>
        <v/>
      </c>
      <c r="B215" s="112" t="str">
        <f>IF(SUM(X215:Y215)=1,1+MAX($B$1:B214),"")</f>
        <v/>
      </c>
      <c r="C215" s="112" t="str">
        <f>IF(SUM(Q215:R215,X215:Y215)=2,1+MAX($C$1:C214),"")</f>
        <v/>
      </c>
      <c r="D215" s="113">
        <v>37420</v>
      </c>
      <c r="E215" s="112">
        <v>2002</v>
      </c>
      <c r="F215" s="112" t="s">
        <v>2656</v>
      </c>
      <c r="G215" s="112" t="s">
        <v>2657</v>
      </c>
      <c r="H215" s="114" t="s">
        <v>2674</v>
      </c>
      <c r="I215" s="112">
        <f t="shared" si="48"/>
        <v>1</v>
      </c>
      <c r="J215" s="112">
        <f t="shared" si="49"/>
        <v>1</v>
      </c>
      <c r="K215" s="115" t="s">
        <v>1061</v>
      </c>
      <c r="L215" s="115" t="s">
        <v>2823</v>
      </c>
      <c r="M215" s="115" t="s">
        <v>2751</v>
      </c>
      <c r="N215" s="115">
        <v>39291</v>
      </c>
      <c r="O215" s="112">
        <v>2</v>
      </c>
      <c r="P215" s="116" t="s">
        <v>2645</v>
      </c>
      <c r="Q215" s="112" t="str">
        <f t="shared" si="50"/>
        <v/>
      </c>
      <c r="R215" s="112" t="str">
        <f t="shared" si="51"/>
        <v/>
      </c>
      <c r="S215" s="112" t="str">
        <f t="shared" si="54"/>
        <v/>
      </c>
      <c r="T215" s="112" t="str">
        <f t="shared" si="55"/>
        <v/>
      </c>
      <c r="U215" s="112" t="str">
        <f t="shared" si="56"/>
        <v/>
      </c>
      <c r="V215" s="112" t="str">
        <f t="shared" si="57"/>
        <v/>
      </c>
      <c r="W215" s="112" t="str">
        <f t="shared" si="58"/>
        <v/>
      </c>
      <c r="X215" s="112" t="str">
        <f t="shared" si="52"/>
        <v/>
      </c>
      <c r="Y215" s="112" t="str">
        <f t="shared" si="53"/>
        <v/>
      </c>
      <c r="Z215" s="112" t="str">
        <f t="shared" si="59"/>
        <v/>
      </c>
      <c r="AA215" s="112" t="str">
        <f t="shared" si="60"/>
        <v/>
      </c>
      <c r="AB215" s="112" t="str">
        <f t="shared" si="61"/>
        <v/>
      </c>
      <c r="AC215" s="112" t="str">
        <f t="shared" si="62"/>
        <v/>
      </c>
      <c r="AD215" s="112" t="str">
        <f t="shared" si="63"/>
        <v/>
      </c>
    </row>
    <row r="216" spans="1:30" x14ac:dyDescent="0.2">
      <c r="A216" s="112" t="str">
        <f>IF(SUM(Q216:R216)=1,1+MAX($A$1:A215),"")</f>
        <v/>
      </c>
      <c r="B216" s="112" t="str">
        <f>IF(SUM(X216:Y216)=1,1+MAX($B$1:B215),"")</f>
        <v/>
      </c>
      <c r="C216" s="112" t="str">
        <f>IF(SUM(Q216:R216,X216:Y216)=2,1+MAX($C$1:C215),"")</f>
        <v/>
      </c>
      <c r="D216" s="113">
        <v>37420</v>
      </c>
      <c r="E216" s="112">
        <v>2002</v>
      </c>
      <c r="F216" s="112" t="s">
        <v>2677</v>
      </c>
      <c r="G216" s="112" t="s">
        <v>2678</v>
      </c>
      <c r="H216" s="114" t="s">
        <v>2728</v>
      </c>
      <c r="I216" s="112">
        <f t="shared" si="48"/>
        <v>0</v>
      </c>
      <c r="J216" s="112">
        <f t="shared" si="49"/>
        <v>3</v>
      </c>
      <c r="K216" s="115" t="s">
        <v>2799</v>
      </c>
      <c r="L216" s="115" t="s">
        <v>2804</v>
      </c>
      <c r="M216" s="115" t="s">
        <v>2752</v>
      </c>
      <c r="N216" s="115">
        <v>43605</v>
      </c>
      <c r="O216" s="112">
        <v>2</v>
      </c>
      <c r="P216" s="116" t="s">
        <v>2607</v>
      </c>
      <c r="Q216" s="112" t="str">
        <f t="shared" si="50"/>
        <v/>
      </c>
      <c r="R216" s="112" t="str">
        <f t="shared" si="51"/>
        <v/>
      </c>
      <c r="S216" s="112" t="str">
        <f t="shared" si="54"/>
        <v/>
      </c>
      <c r="T216" s="112" t="str">
        <f t="shared" si="55"/>
        <v/>
      </c>
      <c r="U216" s="112" t="str">
        <f t="shared" si="56"/>
        <v/>
      </c>
      <c r="V216" s="112" t="str">
        <f t="shared" si="57"/>
        <v/>
      </c>
      <c r="W216" s="112" t="str">
        <f t="shared" si="58"/>
        <v/>
      </c>
      <c r="X216" s="112" t="str">
        <f t="shared" si="52"/>
        <v/>
      </c>
      <c r="Y216" s="112" t="str">
        <f t="shared" si="53"/>
        <v/>
      </c>
      <c r="Z216" s="112" t="str">
        <f t="shared" si="59"/>
        <v/>
      </c>
      <c r="AA216" s="112" t="str">
        <f t="shared" si="60"/>
        <v/>
      </c>
      <c r="AB216" s="112" t="str">
        <f t="shared" si="61"/>
        <v/>
      </c>
      <c r="AC216" s="112" t="str">
        <f t="shared" si="62"/>
        <v/>
      </c>
      <c r="AD216" s="112" t="str">
        <f t="shared" si="63"/>
        <v/>
      </c>
    </row>
    <row r="217" spans="1:30" x14ac:dyDescent="0.2">
      <c r="A217" s="112" t="str">
        <f>IF(SUM(Q217:R217)=1,1+MAX($A$1:A216),"")</f>
        <v/>
      </c>
      <c r="B217" s="112" t="str">
        <f>IF(SUM(X217:Y217)=1,1+MAX($B$1:B216),"")</f>
        <v/>
      </c>
      <c r="C217" s="112" t="str">
        <f>IF(SUM(Q217:R217,X217:Y217)=2,1+MAX($C$1:C216),"")</f>
        <v/>
      </c>
      <c r="D217" s="113">
        <v>37420</v>
      </c>
      <c r="E217" s="112">
        <v>2002</v>
      </c>
      <c r="F217" s="112" t="s">
        <v>2677</v>
      </c>
      <c r="G217" s="112" t="s">
        <v>2678</v>
      </c>
      <c r="H217" s="114" t="s">
        <v>1442</v>
      </c>
      <c r="I217" s="112">
        <f t="shared" si="48"/>
        <v>5</v>
      </c>
      <c r="J217" s="112">
        <f t="shared" si="49"/>
        <v>2</v>
      </c>
      <c r="K217" s="115" t="s">
        <v>2550</v>
      </c>
      <c r="L217" s="115" t="s">
        <v>2821</v>
      </c>
      <c r="M217" s="115" t="s">
        <v>2808</v>
      </c>
      <c r="N217" s="115">
        <v>38524</v>
      </c>
      <c r="O217" s="112">
        <v>3</v>
      </c>
      <c r="P217" s="116" t="s">
        <v>2702</v>
      </c>
      <c r="Q217" s="112" t="str">
        <f t="shared" si="50"/>
        <v/>
      </c>
      <c r="R217" s="112" t="str">
        <f t="shared" si="51"/>
        <v/>
      </c>
      <c r="S217" s="112" t="str">
        <f t="shared" si="54"/>
        <v/>
      </c>
      <c r="T217" s="112" t="str">
        <f t="shared" si="55"/>
        <v/>
      </c>
      <c r="U217" s="112" t="str">
        <f t="shared" si="56"/>
        <v/>
      </c>
      <c r="V217" s="112" t="str">
        <f t="shared" si="57"/>
        <v/>
      </c>
      <c r="W217" s="112" t="str">
        <f t="shared" si="58"/>
        <v/>
      </c>
      <c r="X217" s="112" t="str">
        <f t="shared" si="52"/>
        <v/>
      </c>
      <c r="Y217" s="112" t="str">
        <f t="shared" si="53"/>
        <v/>
      </c>
      <c r="Z217" s="112" t="str">
        <f t="shared" si="59"/>
        <v/>
      </c>
      <c r="AA217" s="112" t="str">
        <f t="shared" si="60"/>
        <v/>
      </c>
      <c r="AB217" s="112" t="str">
        <f t="shared" si="61"/>
        <v/>
      </c>
      <c r="AC217" s="112" t="str">
        <f t="shared" si="62"/>
        <v/>
      </c>
      <c r="AD217" s="112" t="str">
        <f t="shared" si="63"/>
        <v/>
      </c>
    </row>
    <row r="218" spans="1:30" x14ac:dyDescent="0.2">
      <c r="A218" s="112">
        <f>IF(SUM(Q218:R218)=1,1+MAX($A$1:A217),"")</f>
        <v>15</v>
      </c>
      <c r="B218" s="112" t="str">
        <f>IF(SUM(X218:Y218)=1,1+MAX($B$1:B217),"")</f>
        <v/>
      </c>
      <c r="C218" s="112" t="str">
        <f>IF(SUM(Q218:R218,X218:Y218)=2,1+MAX($C$1:C217),"")</f>
        <v/>
      </c>
      <c r="D218" s="113">
        <v>37419</v>
      </c>
      <c r="E218" s="112">
        <v>2002</v>
      </c>
      <c r="F218" s="112" t="s">
        <v>2661</v>
      </c>
      <c r="G218" s="112" t="s">
        <v>2662</v>
      </c>
      <c r="H218" s="114" t="s">
        <v>2545</v>
      </c>
      <c r="I218" s="112">
        <f t="shared" si="48"/>
        <v>0</v>
      </c>
      <c r="J218" s="112">
        <f t="shared" si="49"/>
        <v>0</v>
      </c>
      <c r="K218" s="115" t="s">
        <v>2542</v>
      </c>
      <c r="L218" s="115" t="s">
        <v>2806</v>
      </c>
      <c r="M218" s="115" t="s">
        <v>2832</v>
      </c>
      <c r="N218" s="115">
        <v>44684</v>
      </c>
      <c r="O218" s="112">
        <v>2</v>
      </c>
      <c r="P218" s="116" t="s">
        <v>2613</v>
      </c>
      <c r="Q218" s="112">
        <f t="shared" si="50"/>
        <v>1</v>
      </c>
      <c r="R218" s="112" t="str">
        <f t="shared" si="51"/>
        <v/>
      </c>
      <c r="S218" s="112">
        <f t="shared" si="54"/>
        <v>0</v>
      </c>
      <c r="T218" s="112">
        <f t="shared" si="55"/>
        <v>1</v>
      </c>
      <c r="U218" s="112">
        <f t="shared" si="56"/>
        <v>0</v>
      </c>
      <c r="V218" s="112">
        <f t="shared" si="57"/>
        <v>0</v>
      </c>
      <c r="W218" s="112">
        <f t="shared" si="58"/>
        <v>0</v>
      </c>
      <c r="X218" s="112" t="str">
        <f t="shared" si="52"/>
        <v/>
      </c>
      <c r="Y218" s="112" t="str">
        <f t="shared" si="53"/>
        <v/>
      </c>
      <c r="Z218" s="112" t="str">
        <f t="shared" si="59"/>
        <v/>
      </c>
      <c r="AA218" s="112" t="str">
        <f t="shared" si="60"/>
        <v/>
      </c>
      <c r="AB218" s="112" t="str">
        <f t="shared" si="61"/>
        <v/>
      </c>
      <c r="AC218" s="112" t="str">
        <f t="shared" si="62"/>
        <v/>
      </c>
      <c r="AD218" s="112" t="str">
        <f t="shared" si="63"/>
        <v/>
      </c>
    </row>
    <row r="219" spans="1:30" x14ac:dyDescent="0.2">
      <c r="A219" s="112" t="str">
        <f>IF(SUM(Q219:R219)=1,1+MAX($A$1:A218),"")</f>
        <v/>
      </c>
      <c r="B219" s="112">
        <f>IF(SUM(X219:Y219)=1,1+MAX($B$1:B218),"")</f>
        <v>18</v>
      </c>
      <c r="C219" s="112" t="str">
        <f>IF(SUM(Q219:R219,X219:Y219)=2,1+MAX($C$1:C218),"")</f>
        <v/>
      </c>
      <c r="D219" s="113">
        <v>37419</v>
      </c>
      <c r="E219" s="112">
        <v>2002</v>
      </c>
      <c r="F219" s="112" t="s">
        <v>2661</v>
      </c>
      <c r="G219" s="112" t="s">
        <v>2662</v>
      </c>
      <c r="H219" s="114" t="s">
        <v>1134</v>
      </c>
      <c r="I219" s="112">
        <f t="shared" si="48"/>
        <v>1</v>
      </c>
      <c r="J219" s="112">
        <f t="shared" si="49"/>
        <v>1</v>
      </c>
      <c r="K219" s="115" t="s">
        <v>2549</v>
      </c>
      <c r="L219" s="115" t="s">
        <v>2815</v>
      </c>
      <c r="M219" s="115" t="s">
        <v>2833</v>
      </c>
      <c r="N219" s="115">
        <v>45777</v>
      </c>
      <c r="O219" s="112">
        <v>2</v>
      </c>
      <c r="P219" s="116" t="s">
        <v>2645</v>
      </c>
      <c r="Q219" s="112" t="str">
        <f t="shared" si="50"/>
        <v/>
      </c>
      <c r="R219" s="112" t="str">
        <f t="shared" si="51"/>
        <v/>
      </c>
      <c r="S219" s="112" t="str">
        <f t="shared" si="54"/>
        <v/>
      </c>
      <c r="T219" s="112" t="str">
        <f t="shared" si="55"/>
        <v/>
      </c>
      <c r="U219" s="112" t="str">
        <f t="shared" si="56"/>
        <v/>
      </c>
      <c r="V219" s="112" t="str">
        <f t="shared" si="57"/>
        <v/>
      </c>
      <c r="W219" s="112" t="str">
        <f t="shared" si="58"/>
        <v/>
      </c>
      <c r="X219" s="112">
        <f t="shared" si="52"/>
        <v>1</v>
      </c>
      <c r="Y219" s="112" t="str">
        <f t="shared" si="53"/>
        <v/>
      </c>
      <c r="Z219" s="112">
        <f t="shared" si="59"/>
        <v>0</v>
      </c>
      <c r="AA219" s="112">
        <f t="shared" si="60"/>
        <v>1</v>
      </c>
      <c r="AB219" s="112">
        <f t="shared" si="61"/>
        <v>0</v>
      </c>
      <c r="AC219" s="112">
        <f t="shared" si="62"/>
        <v>2</v>
      </c>
      <c r="AD219" s="112">
        <f t="shared" si="63"/>
        <v>0</v>
      </c>
    </row>
    <row r="220" spans="1:30" x14ac:dyDescent="0.2">
      <c r="A220" s="112" t="str">
        <f>IF(SUM(Q220:R220)=1,1+MAX($A$1:A219),"")</f>
        <v/>
      </c>
      <c r="B220" s="112" t="str">
        <f>IF(SUM(X220:Y220)=1,1+MAX($B$1:B219),"")</f>
        <v/>
      </c>
      <c r="C220" s="112" t="str">
        <f>IF(SUM(Q220:R220,X220:Y220)=2,1+MAX($C$1:C219),"")</f>
        <v/>
      </c>
      <c r="D220" s="113">
        <v>37419</v>
      </c>
      <c r="E220" s="112">
        <v>2002</v>
      </c>
      <c r="F220" s="112" t="s">
        <v>2684</v>
      </c>
      <c r="G220" s="112" t="s">
        <v>2685</v>
      </c>
      <c r="H220" s="114" t="s">
        <v>2709</v>
      </c>
      <c r="I220" s="112">
        <f t="shared" si="48"/>
        <v>3</v>
      </c>
      <c r="J220" s="112">
        <f t="shared" si="49"/>
        <v>1</v>
      </c>
      <c r="K220" s="115" t="s">
        <v>2718</v>
      </c>
      <c r="L220" s="115" t="s">
        <v>2826</v>
      </c>
      <c r="M220" s="115" t="s">
        <v>2812</v>
      </c>
      <c r="N220" s="115">
        <v>30176</v>
      </c>
      <c r="O220" s="112">
        <v>3</v>
      </c>
      <c r="P220" s="116" t="s">
        <v>2663</v>
      </c>
      <c r="Q220" s="112" t="str">
        <f t="shared" si="50"/>
        <v/>
      </c>
      <c r="R220" s="112" t="str">
        <f t="shared" si="51"/>
        <v/>
      </c>
      <c r="S220" s="112" t="str">
        <f t="shared" si="54"/>
        <v/>
      </c>
      <c r="T220" s="112" t="str">
        <f t="shared" si="55"/>
        <v/>
      </c>
      <c r="U220" s="112" t="str">
        <f t="shared" si="56"/>
        <v/>
      </c>
      <c r="V220" s="112" t="str">
        <f t="shared" si="57"/>
        <v/>
      </c>
      <c r="W220" s="112" t="str">
        <f t="shared" si="58"/>
        <v/>
      </c>
      <c r="X220" s="112" t="str">
        <f t="shared" si="52"/>
        <v/>
      </c>
      <c r="Y220" s="112" t="str">
        <f t="shared" si="53"/>
        <v/>
      </c>
      <c r="Z220" s="112" t="str">
        <f t="shared" si="59"/>
        <v/>
      </c>
      <c r="AA220" s="112" t="str">
        <f t="shared" si="60"/>
        <v/>
      </c>
      <c r="AB220" s="112" t="str">
        <f t="shared" si="61"/>
        <v/>
      </c>
      <c r="AC220" s="112" t="str">
        <f t="shared" si="62"/>
        <v/>
      </c>
      <c r="AD220" s="112" t="str">
        <f t="shared" si="63"/>
        <v/>
      </c>
    </row>
    <row r="221" spans="1:30" x14ac:dyDescent="0.2">
      <c r="A221" s="112" t="str">
        <f>IF(SUM(Q221:R221)=1,1+MAX($A$1:A220),"")</f>
        <v/>
      </c>
      <c r="B221" s="112" t="str">
        <f>IF(SUM(X221:Y221)=1,1+MAX($B$1:B220),"")</f>
        <v/>
      </c>
      <c r="C221" s="112" t="str">
        <f>IF(SUM(Q221:R221,X221:Y221)=2,1+MAX($C$1:C220),"")</f>
        <v/>
      </c>
      <c r="D221" s="113">
        <v>37419</v>
      </c>
      <c r="E221" s="112">
        <v>2002</v>
      </c>
      <c r="F221" s="112" t="s">
        <v>2684</v>
      </c>
      <c r="G221" s="112" t="s">
        <v>2685</v>
      </c>
      <c r="H221" s="114" t="s">
        <v>2692</v>
      </c>
      <c r="I221" s="112">
        <f t="shared" si="48"/>
        <v>2</v>
      </c>
      <c r="J221" s="112">
        <f t="shared" si="49"/>
        <v>3</v>
      </c>
      <c r="K221" s="115" t="s">
        <v>2557</v>
      </c>
      <c r="L221" s="115" t="s">
        <v>2813</v>
      </c>
      <c r="M221" s="115" t="s">
        <v>2801</v>
      </c>
      <c r="N221" s="115">
        <v>31024</v>
      </c>
      <c r="O221" s="112">
        <v>2</v>
      </c>
      <c r="P221" s="116" t="s">
        <v>2706</v>
      </c>
      <c r="Q221" s="112" t="str">
        <f t="shared" si="50"/>
        <v/>
      </c>
      <c r="R221" s="112" t="str">
        <f t="shared" si="51"/>
        <v/>
      </c>
      <c r="S221" s="112" t="str">
        <f t="shared" si="54"/>
        <v/>
      </c>
      <c r="T221" s="112" t="str">
        <f t="shared" si="55"/>
        <v/>
      </c>
      <c r="U221" s="112" t="str">
        <f t="shared" si="56"/>
        <v/>
      </c>
      <c r="V221" s="112" t="str">
        <f t="shared" si="57"/>
        <v/>
      </c>
      <c r="W221" s="112" t="str">
        <f t="shared" si="58"/>
        <v/>
      </c>
      <c r="X221" s="112" t="str">
        <f t="shared" si="52"/>
        <v/>
      </c>
      <c r="Y221" s="112" t="str">
        <f t="shared" si="53"/>
        <v/>
      </c>
      <c r="Z221" s="112" t="str">
        <f t="shared" si="59"/>
        <v/>
      </c>
      <c r="AA221" s="112" t="str">
        <f t="shared" si="60"/>
        <v/>
      </c>
      <c r="AB221" s="112" t="str">
        <f t="shared" si="61"/>
        <v/>
      </c>
      <c r="AC221" s="112" t="str">
        <f t="shared" si="62"/>
        <v/>
      </c>
      <c r="AD221" s="112" t="str">
        <f t="shared" si="63"/>
        <v/>
      </c>
    </row>
    <row r="222" spans="1:30" x14ac:dyDescent="0.2">
      <c r="A222" s="112" t="str">
        <f>IF(SUM(Q222:R222)=1,1+MAX($A$1:A221),"")</f>
        <v/>
      </c>
      <c r="B222" s="112" t="str">
        <f>IF(SUM(X222:Y222)=1,1+MAX($B$1:B221),"")</f>
        <v/>
      </c>
      <c r="C222" s="112" t="str">
        <f>IF(SUM(Q222:R222,X222:Y222)=2,1+MAX($C$1:C221),"")</f>
        <v/>
      </c>
      <c r="D222" s="113">
        <v>37418</v>
      </c>
      <c r="E222" s="112">
        <v>2002</v>
      </c>
      <c r="F222" s="112" t="s">
        <v>2666</v>
      </c>
      <c r="G222" s="112" t="s">
        <v>2667</v>
      </c>
      <c r="H222" s="114" t="s">
        <v>2676</v>
      </c>
      <c r="I222" s="112">
        <f t="shared" si="48"/>
        <v>3</v>
      </c>
      <c r="J222" s="112">
        <f t="shared" si="49"/>
        <v>0</v>
      </c>
      <c r="K222" s="115" t="s">
        <v>2559</v>
      </c>
      <c r="L222" s="115" t="s">
        <v>2797</v>
      </c>
      <c r="M222" s="115" t="s">
        <v>2834</v>
      </c>
      <c r="N222" s="115">
        <v>65320</v>
      </c>
      <c r="O222" s="112">
        <v>2</v>
      </c>
      <c r="P222" s="116" t="s">
        <v>2713</v>
      </c>
      <c r="Q222" s="112" t="str">
        <f t="shared" si="50"/>
        <v/>
      </c>
      <c r="R222" s="112" t="str">
        <f t="shared" si="51"/>
        <v/>
      </c>
      <c r="S222" s="112" t="str">
        <f t="shared" si="54"/>
        <v/>
      </c>
      <c r="T222" s="112" t="str">
        <f t="shared" si="55"/>
        <v/>
      </c>
      <c r="U222" s="112" t="str">
        <f t="shared" si="56"/>
        <v/>
      </c>
      <c r="V222" s="112" t="str">
        <f t="shared" si="57"/>
        <v/>
      </c>
      <c r="W222" s="112" t="str">
        <f t="shared" si="58"/>
        <v/>
      </c>
      <c r="X222" s="112" t="str">
        <f t="shared" si="52"/>
        <v/>
      </c>
      <c r="Y222" s="112" t="str">
        <f t="shared" si="53"/>
        <v/>
      </c>
      <c r="Z222" s="112" t="str">
        <f t="shared" si="59"/>
        <v/>
      </c>
      <c r="AA222" s="112" t="str">
        <f t="shared" si="60"/>
        <v/>
      </c>
      <c r="AB222" s="112" t="str">
        <f t="shared" si="61"/>
        <v/>
      </c>
      <c r="AC222" s="112" t="str">
        <f t="shared" si="62"/>
        <v/>
      </c>
      <c r="AD222" s="112" t="str">
        <f t="shared" si="63"/>
        <v/>
      </c>
    </row>
    <row r="223" spans="1:30" x14ac:dyDescent="0.2">
      <c r="A223" s="112" t="str">
        <f>IF(SUM(Q223:R223)=1,1+MAX($A$1:A222),"")</f>
        <v/>
      </c>
      <c r="B223" s="112" t="str">
        <f>IF(SUM(X223:Y223)=1,1+MAX($B$1:B222),"")</f>
        <v/>
      </c>
      <c r="C223" s="112" t="str">
        <f>IF(SUM(Q223:R223,X223:Y223)=2,1+MAX($C$1:C222),"")</f>
        <v/>
      </c>
      <c r="D223" s="113">
        <v>37418</v>
      </c>
      <c r="E223" s="112">
        <v>2002</v>
      </c>
      <c r="F223" s="112" t="s">
        <v>2666</v>
      </c>
      <c r="G223" s="112" t="s">
        <v>2667</v>
      </c>
      <c r="H223" s="114" t="s">
        <v>2693</v>
      </c>
      <c r="I223" s="112">
        <f t="shared" si="48"/>
        <v>0</v>
      </c>
      <c r="J223" s="112">
        <f t="shared" si="49"/>
        <v>2</v>
      </c>
      <c r="K223" s="115" t="s">
        <v>2547</v>
      </c>
      <c r="L223" s="115" t="s">
        <v>2811</v>
      </c>
      <c r="M223" s="115" t="s">
        <v>2835</v>
      </c>
      <c r="N223" s="115">
        <v>47085</v>
      </c>
      <c r="O223" s="112">
        <v>2</v>
      </c>
      <c r="P223" s="116" t="s">
        <v>2687</v>
      </c>
      <c r="Q223" s="112" t="str">
        <f t="shared" si="50"/>
        <v/>
      </c>
      <c r="R223" s="112" t="str">
        <f t="shared" si="51"/>
        <v/>
      </c>
      <c r="S223" s="112" t="str">
        <f t="shared" si="54"/>
        <v/>
      </c>
      <c r="T223" s="112" t="str">
        <f t="shared" si="55"/>
        <v/>
      </c>
      <c r="U223" s="112" t="str">
        <f t="shared" si="56"/>
        <v/>
      </c>
      <c r="V223" s="112" t="str">
        <f t="shared" si="57"/>
        <v/>
      </c>
      <c r="W223" s="112" t="str">
        <f t="shared" si="58"/>
        <v/>
      </c>
      <c r="X223" s="112" t="str">
        <f t="shared" si="52"/>
        <v/>
      </c>
      <c r="Y223" s="112" t="str">
        <f t="shared" si="53"/>
        <v/>
      </c>
      <c r="Z223" s="112" t="str">
        <f t="shared" si="59"/>
        <v/>
      </c>
      <c r="AA223" s="112" t="str">
        <f t="shared" si="60"/>
        <v/>
      </c>
      <c r="AB223" s="112" t="str">
        <f t="shared" si="61"/>
        <v/>
      </c>
      <c r="AC223" s="112" t="str">
        <f t="shared" si="62"/>
        <v/>
      </c>
      <c r="AD223" s="112" t="str">
        <f t="shared" si="63"/>
        <v/>
      </c>
    </row>
    <row r="224" spans="1:30" x14ac:dyDescent="0.2">
      <c r="A224" s="112" t="str">
        <f>IF(SUM(Q224:R224)=1,1+MAX($A$1:A223),"")</f>
        <v/>
      </c>
      <c r="B224" s="112" t="str">
        <f>IF(SUM(X224:Y224)=1,1+MAX($B$1:B223),"")</f>
        <v/>
      </c>
      <c r="C224" s="112" t="str">
        <f>IF(SUM(Q224:R224,X224:Y224)=2,1+MAX($C$1:C223),"")</f>
        <v/>
      </c>
      <c r="D224" s="113">
        <v>37418</v>
      </c>
      <c r="E224" s="112">
        <v>2002</v>
      </c>
      <c r="F224" s="112" t="s">
        <v>2689</v>
      </c>
      <c r="G224" s="112" t="s">
        <v>2690</v>
      </c>
      <c r="H224" s="114" t="s">
        <v>2142</v>
      </c>
      <c r="I224" s="112">
        <f t="shared" si="48"/>
        <v>3</v>
      </c>
      <c r="J224" s="112">
        <f t="shared" si="49"/>
        <v>3</v>
      </c>
      <c r="K224" s="115" t="s">
        <v>2540</v>
      </c>
      <c r="L224" s="115" t="s">
        <v>2821</v>
      </c>
      <c r="M224" s="115" t="s">
        <v>2836</v>
      </c>
      <c r="N224" s="115">
        <v>33681</v>
      </c>
      <c r="O224" s="112">
        <v>3</v>
      </c>
      <c r="P224" s="116" t="s">
        <v>2837</v>
      </c>
      <c r="Q224" s="112" t="str">
        <f t="shared" si="50"/>
        <v/>
      </c>
      <c r="R224" s="112" t="str">
        <f t="shared" si="51"/>
        <v/>
      </c>
      <c r="S224" s="112" t="str">
        <f t="shared" si="54"/>
        <v/>
      </c>
      <c r="T224" s="112" t="str">
        <f t="shared" si="55"/>
        <v/>
      </c>
      <c r="U224" s="112" t="str">
        <f t="shared" si="56"/>
        <v/>
      </c>
      <c r="V224" s="112" t="str">
        <f t="shared" si="57"/>
        <v/>
      </c>
      <c r="W224" s="112" t="str">
        <f t="shared" si="58"/>
        <v/>
      </c>
      <c r="X224" s="112" t="str">
        <f t="shared" si="52"/>
        <v/>
      </c>
      <c r="Y224" s="112" t="str">
        <f t="shared" si="53"/>
        <v/>
      </c>
      <c r="Z224" s="112" t="str">
        <f t="shared" si="59"/>
        <v/>
      </c>
      <c r="AA224" s="112" t="str">
        <f t="shared" si="60"/>
        <v/>
      </c>
      <c r="AB224" s="112" t="str">
        <f t="shared" si="61"/>
        <v/>
      </c>
      <c r="AC224" s="112" t="str">
        <f t="shared" si="62"/>
        <v/>
      </c>
      <c r="AD224" s="112" t="str">
        <f t="shared" si="63"/>
        <v/>
      </c>
    </row>
    <row r="225" spans="1:30" x14ac:dyDescent="0.2">
      <c r="A225" s="112" t="str">
        <f>IF(SUM(Q225:R225)=1,1+MAX($A$1:A224),"")</f>
        <v/>
      </c>
      <c r="B225" s="112" t="str">
        <f>IF(SUM(X225:Y225)=1,1+MAX($B$1:B224),"")</f>
        <v/>
      </c>
      <c r="C225" s="112" t="str">
        <f>IF(SUM(Q225:R225,X225:Y225)=2,1+MAX($C$1:C224),"")</f>
        <v/>
      </c>
      <c r="D225" s="113">
        <v>37418</v>
      </c>
      <c r="E225" s="112">
        <v>2002</v>
      </c>
      <c r="F225" s="112" t="s">
        <v>2689</v>
      </c>
      <c r="G225" s="112" t="s">
        <v>2690</v>
      </c>
      <c r="H225" s="114" t="s">
        <v>2548</v>
      </c>
      <c r="I225" s="112">
        <f t="shared" si="48"/>
        <v>2</v>
      </c>
      <c r="J225" s="112">
        <f t="shared" si="49"/>
        <v>0</v>
      </c>
      <c r="K225" s="115" t="s">
        <v>2541</v>
      </c>
      <c r="L225" s="115" t="s">
        <v>2829</v>
      </c>
      <c r="M225" s="115" t="s">
        <v>2820</v>
      </c>
      <c r="N225" s="115">
        <v>48100</v>
      </c>
      <c r="O225" s="112">
        <v>2</v>
      </c>
      <c r="P225" s="116" t="s">
        <v>2641</v>
      </c>
      <c r="Q225" s="112" t="str">
        <f t="shared" si="50"/>
        <v/>
      </c>
      <c r="R225" s="112" t="str">
        <f t="shared" si="51"/>
        <v/>
      </c>
      <c r="S225" s="112" t="str">
        <f t="shared" si="54"/>
        <v/>
      </c>
      <c r="T225" s="112" t="str">
        <f t="shared" si="55"/>
        <v/>
      </c>
      <c r="U225" s="112" t="str">
        <f t="shared" si="56"/>
        <v/>
      </c>
      <c r="V225" s="112" t="str">
        <f t="shared" si="57"/>
        <v/>
      </c>
      <c r="W225" s="112" t="str">
        <f t="shared" si="58"/>
        <v/>
      </c>
      <c r="X225" s="112" t="str">
        <f t="shared" si="52"/>
        <v/>
      </c>
      <c r="Y225" s="112" t="str">
        <f t="shared" si="53"/>
        <v/>
      </c>
      <c r="Z225" s="112" t="str">
        <f t="shared" si="59"/>
        <v/>
      </c>
      <c r="AA225" s="112" t="str">
        <f t="shared" si="60"/>
        <v/>
      </c>
      <c r="AB225" s="112" t="str">
        <f t="shared" si="61"/>
        <v/>
      </c>
      <c r="AC225" s="112" t="str">
        <f t="shared" si="62"/>
        <v/>
      </c>
      <c r="AD225" s="112" t="str">
        <f t="shared" si="63"/>
        <v/>
      </c>
    </row>
    <row r="226" spans="1:30" x14ac:dyDescent="0.2">
      <c r="A226" s="112" t="str">
        <f>IF(SUM(Q226:R226)=1,1+MAX($A$1:A225),"")</f>
        <v/>
      </c>
      <c r="B226" s="112" t="str">
        <f>IF(SUM(X226:Y226)=1,1+MAX($B$1:B225),"")</f>
        <v/>
      </c>
      <c r="C226" s="112" t="str">
        <f>IF(SUM(Q226:R226,X226:Y226)=2,1+MAX($C$1:C225),"")</f>
        <v/>
      </c>
      <c r="D226" s="113">
        <v>37417</v>
      </c>
      <c r="E226" s="112">
        <v>2002</v>
      </c>
      <c r="F226" s="112" t="s">
        <v>2652</v>
      </c>
      <c r="G226" s="112" t="s">
        <v>2653</v>
      </c>
      <c r="H226" s="114" t="s">
        <v>2554</v>
      </c>
      <c r="I226" s="112">
        <f t="shared" si="48"/>
        <v>1</v>
      </c>
      <c r="J226" s="112">
        <f t="shared" si="49"/>
        <v>1</v>
      </c>
      <c r="K226" s="115" t="s">
        <v>2388</v>
      </c>
      <c r="L226" s="115" t="s">
        <v>2823</v>
      </c>
      <c r="M226" s="115" t="s">
        <v>2788</v>
      </c>
      <c r="N226" s="115">
        <v>52000</v>
      </c>
      <c r="O226" s="112">
        <v>2</v>
      </c>
      <c r="P226" s="116" t="s">
        <v>2645</v>
      </c>
      <c r="Q226" s="112" t="str">
        <f t="shared" si="50"/>
        <v/>
      </c>
      <c r="R226" s="112" t="str">
        <f t="shared" si="51"/>
        <v/>
      </c>
      <c r="S226" s="112" t="str">
        <f t="shared" si="54"/>
        <v/>
      </c>
      <c r="T226" s="112" t="str">
        <f t="shared" si="55"/>
        <v/>
      </c>
      <c r="U226" s="112" t="str">
        <f t="shared" si="56"/>
        <v/>
      </c>
      <c r="V226" s="112" t="str">
        <f t="shared" si="57"/>
        <v/>
      </c>
      <c r="W226" s="112" t="str">
        <f t="shared" si="58"/>
        <v/>
      </c>
      <c r="X226" s="112" t="str">
        <f t="shared" si="52"/>
        <v/>
      </c>
      <c r="Y226" s="112" t="str">
        <f t="shared" si="53"/>
        <v/>
      </c>
      <c r="Z226" s="112" t="str">
        <f t="shared" si="59"/>
        <v/>
      </c>
      <c r="AA226" s="112" t="str">
        <f t="shared" si="60"/>
        <v/>
      </c>
      <c r="AB226" s="112" t="str">
        <f t="shared" si="61"/>
        <v/>
      </c>
      <c r="AC226" s="112" t="str">
        <f t="shared" si="62"/>
        <v/>
      </c>
      <c r="AD226" s="112" t="str">
        <f t="shared" si="63"/>
        <v/>
      </c>
    </row>
    <row r="227" spans="1:30" x14ac:dyDescent="0.2">
      <c r="A227" s="112" t="str">
        <f>IF(SUM(Q227:R227)=1,1+MAX($A$1:A226),"")</f>
        <v/>
      </c>
      <c r="B227" s="112" t="str">
        <f>IF(SUM(X227:Y227)=1,1+MAX($B$1:B226),"")</f>
        <v/>
      </c>
      <c r="C227" s="112" t="str">
        <f>IF(SUM(Q227:R227,X227:Y227)=2,1+MAX($C$1:C226),"")</f>
        <v/>
      </c>
      <c r="D227" s="113">
        <v>37417</v>
      </c>
      <c r="E227" s="112">
        <v>2002</v>
      </c>
      <c r="F227" s="112" t="s">
        <v>2672</v>
      </c>
      <c r="G227" s="112" t="s">
        <v>2673</v>
      </c>
      <c r="H227" s="114" t="s">
        <v>2544</v>
      </c>
      <c r="I227" s="112">
        <f t="shared" si="48"/>
        <v>0</v>
      </c>
      <c r="J227" s="112">
        <f t="shared" si="49"/>
        <v>4</v>
      </c>
      <c r="K227" s="115" t="s">
        <v>2556</v>
      </c>
      <c r="L227" s="115" t="s">
        <v>2819</v>
      </c>
      <c r="M227" s="115" t="s">
        <v>2810</v>
      </c>
      <c r="N227" s="115">
        <v>31000</v>
      </c>
      <c r="O227" s="112">
        <v>2</v>
      </c>
      <c r="P227" s="116" t="s">
        <v>2708</v>
      </c>
      <c r="Q227" s="112" t="str">
        <f t="shared" si="50"/>
        <v/>
      </c>
      <c r="R227" s="112" t="str">
        <f t="shared" si="51"/>
        <v/>
      </c>
      <c r="S227" s="112" t="str">
        <f t="shared" si="54"/>
        <v/>
      </c>
      <c r="T227" s="112" t="str">
        <f t="shared" si="55"/>
        <v/>
      </c>
      <c r="U227" s="112" t="str">
        <f t="shared" si="56"/>
        <v/>
      </c>
      <c r="V227" s="112" t="str">
        <f t="shared" si="57"/>
        <v/>
      </c>
      <c r="W227" s="112" t="str">
        <f t="shared" si="58"/>
        <v/>
      </c>
      <c r="X227" s="112" t="str">
        <f t="shared" si="52"/>
        <v/>
      </c>
      <c r="Y227" s="112" t="str">
        <f t="shared" si="53"/>
        <v/>
      </c>
      <c r="Z227" s="112" t="str">
        <f t="shared" si="59"/>
        <v/>
      </c>
      <c r="AA227" s="112" t="str">
        <f t="shared" si="60"/>
        <v/>
      </c>
      <c r="AB227" s="112" t="str">
        <f t="shared" si="61"/>
        <v/>
      </c>
      <c r="AC227" s="112" t="str">
        <f t="shared" si="62"/>
        <v/>
      </c>
      <c r="AD227" s="112" t="str">
        <f t="shared" si="63"/>
        <v/>
      </c>
    </row>
    <row r="228" spans="1:30" x14ac:dyDescent="0.2">
      <c r="A228" s="112" t="str">
        <f>IF(SUM(Q228:R228)=1,1+MAX($A$1:A227),"")</f>
        <v/>
      </c>
      <c r="B228" s="112" t="str">
        <f>IF(SUM(X228:Y228)=1,1+MAX($B$1:B227),"")</f>
        <v/>
      </c>
      <c r="C228" s="112" t="str">
        <f>IF(SUM(Q228:R228,X228:Y228)=2,1+MAX($C$1:C227),"")</f>
        <v/>
      </c>
      <c r="D228" s="113">
        <v>37417</v>
      </c>
      <c r="E228" s="112">
        <v>2002</v>
      </c>
      <c r="F228" s="112" t="s">
        <v>2672</v>
      </c>
      <c r="G228" s="112" t="s">
        <v>2673</v>
      </c>
      <c r="H228" s="114" t="s">
        <v>2543</v>
      </c>
      <c r="I228" s="112">
        <f t="shared" si="48"/>
        <v>1</v>
      </c>
      <c r="J228" s="112">
        <f t="shared" si="49"/>
        <v>1</v>
      </c>
      <c r="K228" s="115" t="s">
        <v>2614</v>
      </c>
      <c r="L228" s="115" t="s">
        <v>2800</v>
      </c>
      <c r="M228" s="115" t="s">
        <v>2805</v>
      </c>
      <c r="N228" s="115">
        <v>60778</v>
      </c>
      <c r="O228" s="112">
        <v>3</v>
      </c>
      <c r="P228" s="116" t="s">
        <v>2645</v>
      </c>
      <c r="Q228" s="112" t="str">
        <f t="shared" si="50"/>
        <v/>
      </c>
      <c r="R228" s="112" t="str">
        <f t="shared" si="51"/>
        <v/>
      </c>
      <c r="S228" s="112" t="str">
        <f t="shared" si="54"/>
        <v/>
      </c>
      <c r="T228" s="112" t="str">
        <f t="shared" si="55"/>
        <v/>
      </c>
      <c r="U228" s="112" t="str">
        <f t="shared" si="56"/>
        <v/>
      </c>
      <c r="V228" s="112" t="str">
        <f t="shared" si="57"/>
        <v/>
      </c>
      <c r="W228" s="112" t="str">
        <f t="shared" si="58"/>
        <v/>
      </c>
      <c r="X228" s="112" t="str">
        <f t="shared" si="52"/>
        <v/>
      </c>
      <c r="Y228" s="112" t="str">
        <f t="shared" si="53"/>
        <v/>
      </c>
      <c r="Z228" s="112" t="str">
        <f t="shared" si="59"/>
        <v/>
      </c>
      <c r="AA228" s="112" t="str">
        <f t="shared" si="60"/>
        <v/>
      </c>
      <c r="AB228" s="112" t="str">
        <f t="shared" si="61"/>
        <v/>
      </c>
      <c r="AC228" s="112" t="str">
        <f t="shared" si="62"/>
        <v/>
      </c>
      <c r="AD228" s="112" t="str">
        <f t="shared" si="63"/>
        <v/>
      </c>
    </row>
    <row r="229" spans="1:30" x14ac:dyDescent="0.2">
      <c r="A229" s="112" t="str">
        <f>IF(SUM(Q229:R229)=1,1+MAX($A$1:A228),"")</f>
        <v/>
      </c>
      <c r="B229" s="112" t="str">
        <f>IF(SUM(X229:Y229)=1,1+MAX($B$1:B228),"")</f>
        <v/>
      </c>
      <c r="C229" s="112" t="str">
        <f>IF(SUM(Q229:R229,X229:Y229)=2,1+MAX($C$1:C228),"")</f>
        <v/>
      </c>
      <c r="D229" s="113">
        <v>37416</v>
      </c>
      <c r="E229" s="112">
        <v>2002</v>
      </c>
      <c r="F229" s="112" t="s">
        <v>2652</v>
      </c>
      <c r="G229" s="112" t="s">
        <v>2653</v>
      </c>
      <c r="H229" s="114" t="s">
        <v>1395</v>
      </c>
      <c r="I229" s="112">
        <f t="shared" si="48"/>
        <v>1</v>
      </c>
      <c r="J229" s="112">
        <f t="shared" si="49"/>
        <v>0</v>
      </c>
      <c r="K229" s="115" t="s">
        <v>2546</v>
      </c>
      <c r="L229" s="115" t="s">
        <v>2797</v>
      </c>
      <c r="M229" s="115" t="s">
        <v>2787</v>
      </c>
      <c r="N229" s="115">
        <v>66108</v>
      </c>
      <c r="O229" s="112">
        <v>2</v>
      </c>
      <c r="P229" s="116" t="s">
        <v>2622</v>
      </c>
      <c r="Q229" s="112" t="str">
        <f t="shared" si="50"/>
        <v/>
      </c>
      <c r="R229" s="112" t="str">
        <f t="shared" si="51"/>
        <v/>
      </c>
      <c r="S229" s="112" t="str">
        <f t="shared" si="54"/>
        <v/>
      </c>
      <c r="T229" s="112" t="str">
        <f t="shared" si="55"/>
        <v/>
      </c>
      <c r="U229" s="112" t="str">
        <f t="shared" si="56"/>
        <v/>
      </c>
      <c r="V229" s="112" t="str">
        <f t="shared" si="57"/>
        <v/>
      </c>
      <c r="W229" s="112" t="str">
        <f t="shared" si="58"/>
        <v/>
      </c>
      <c r="X229" s="112" t="str">
        <f t="shared" si="52"/>
        <v/>
      </c>
      <c r="Y229" s="112" t="str">
        <f t="shared" si="53"/>
        <v/>
      </c>
      <c r="Z229" s="112" t="str">
        <f t="shared" si="59"/>
        <v/>
      </c>
      <c r="AA229" s="112" t="str">
        <f t="shared" si="60"/>
        <v/>
      </c>
      <c r="AB229" s="112" t="str">
        <f t="shared" si="61"/>
        <v/>
      </c>
      <c r="AC229" s="112" t="str">
        <f t="shared" si="62"/>
        <v/>
      </c>
      <c r="AD229" s="112" t="str">
        <f t="shared" si="63"/>
        <v/>
      </c>
    </row>
    <row r="230" spans="1:30" x14ac:dyDescent="0.2">
      <c r="A230" s="112" t="str">
        <f>IF(SUM(Q230:R230)=1,1+MAX($A$1:A229),"")</f>
        <v/>
      </c>
      <c r="B230" s="112" t="str">
        <f>IF(SUM(X230:Y230)=1,1+MAX($B$1:B229),"")</f>
        <v/>
      </c>
      <c r="C230" s="112" t="str">
        <f>IF(SUM(Q230:R230,X230:Y230)=2,1+MAX($C$1:C229),"")</f>
        <v/>
      </c>
      <c r="D230" s="113">
        <v>37416</v>
      </c>
      <c r="E230" s="112">
        <v>2002</v>
      </c>
      <c r="F230" s="112" t="s">
        <v>2656</v>
      </c>
      <c r="G230" s="112" t="s">
        <v>2657</v>
      </c>
      <c r="H230" s="114" t="s">
        <v>2655</v>
      </c>
      <c r="I230" s="112">
        <f t="shared" si="48"/>
        <v>1</v>
      </c>
      <c r="J230" s="112">
        <f t="shared" si="49"/>
        <v>2</v>
      </c>
      <c r="K230" s="115" t="s">
        <v>1061</v>
      </c>
      <c r="L230" s="115" t="s">
        <v>2815</v>
      </c>
      <c r="M230" s="115" t="s">
        <v>2838</v>
      </c>
      <c r="N230" s="115">
        <v>45610</v>
      </c>
      <c r="O230" s="112">
        <v>2</v>
      </c>
      <c r="P230" s="116" t="s">
        <v>2638</v>
      </c>
      <c r="Q230" s="112" t="str">
        <f t="shared" si="50"/>
        <v/>
      </c>
      <c r="R230" s="112" t="str">
        <f t="shared" si="51"/>
        <v/>
      </c>
      <c r="S230" s="112" t="str">
        <f t="shared" si="54"/>
        <v/>
      </c>
      <c r="T230" s="112" t="str">
        <f t="shared" si="55"/>
        <v/>
      </c>
      <c r="U230" s="112" t="str">
        <f t="shared" si="56"/>
        <v/>
      </c>
      <c r="V230" s="112" t="str">
        <f t="shared" si="57"/>
        <v/>
      </c>
      <c r="W230" s="112" t="str">
        <f t="shared" si="58"/>
        <v/>
      </c>
      <c r="X230" s="112" t="str">
        <f t="shared" si="52"/>
        <v/>
      </c>
      <c r="Y230" s="112" t="str">
        <f t="shared" si="53"/>
        <v/>
      </c>
      <c r="Z230" s="112" t="str">
        <f t="shared" si="59"/>
        <v/>
      </c>
      <c r="AA230" s="112" t="str">
        <f t="shared" si="60"/>
        <v/>
      </c>
      <c r="AB230" s="112" t="str">
        <f t="shared" si="61"/>
        <v/>
      </c>
      <c r="AC230" s="112" t="str">
        <f t="shared" si="62"/>
        <v/>
      </c>
      <c r="AD230" s="112" t="str">
        <f t="shared" si="63"/>
        <v/>
      </c>
    </row>
    <row r="231" spans="1:30" x14ac:dyDescent="0.2">
      <c r="A231" s="112" t="str">
        <f>IF(SUM(Q231:R231)=1,1+MAX($A$1:A230),"")</f>
        <v/>
      </c>
      <c r="B231" s="112" t="str">
        <f>IF(SUM(X231:Y231)=1,1+MAX($B$1:B230),"")</f>
        <v/>
      </c>
      <c r="C231" s="112" t="str">
        <f>IF(SUM(Q231:R231,X231:Y231)=2,1+MAX($C$1:C230),"")</f>
        <v/>
      </c>
      <c r="D231" s="113">
        <v>37416</v>
      </c>
      <c r="E231" s="112">
        <v>2002</v>
      </c>
      <c r="F231" s="112" t="s">
        <v>2677</v>
      </c>
      <c r="G231" s="112" t="s">
        <v>2678</v>
      </c>
      <c r="H231" s="114" t="s">
        <v>2550</v>
      </c>
      <c r="I231" s="112">
        <f t="shared" si="48"/>
        <v>1</v>
      </c>
      <c r="J231" s="112">
        <f t="shared" si="49"/>
        <v>1</v>
      </c>
      <c r="K231" s="115" t="s">
        <v>2799</v>
      </c>
      <c r="L231" s="115" t="s">
        <v>2829</v>
      </c>
      <c r="M231" s="115" t="s">
        <v>2839</v>
      </c>
      <c r="N231" s="115">
        <v>42299</v>
      </c>
      <c r="O231" s="112">
        <v>3</v>
      </c>
      <c r="P231" s="116" t="s">
        <v>2645</v>
      </c>
      <c r="Q231" s="112" t="str">
        <f t="shared" si="50"/>
        <v/>
      </c>
      <c r="R231" s="112" t="str">
        <f t="shared" si="51"/>
        <v/>
      </c>
      <c r="S231" s="112" t="str">
        <f t="shared" si="54"/>
        <v/>
      </c>
      <c r="T231" s="112" t="str">
        <f t="shared" si="55"/>
        <v/>
      </c>
      <c r="U231" s="112" t="str">
        <f t="shared" si="56"/>
        <v/>
      </c>
      <c r="V231" s="112" t="str">
        <f t="shared" si="57"/>
        <v/>
      </c>
      <c r="W231" s="112" t="str">
        <f t="shared" si="58"/>
        <v/>
      </c>
      <c r="X231" s="112" t="str">
        <f t="shared" si="52"/>
        <v/>
      </c>
      <c r="Y231" s="112" t="str">
        <f t="shared" si="53"/>
        <v/>
      </c>
      <c r="Z231" s="112" t="str">
        <f t="shared" si="59"/>
        <v/>
      </c>
      <c r="AA231" s="112" t="str">
        <f t="shared" si="60"/>
        <v/>
      </c>
      <c r="AB231" s="112" t="str">
        <f t="shared" si="61"/>
        <v/>
      </c>
      <c r="AC231" s="112" t="str">
        <f t="shared" si="62"/>
        <v/>
      </c>
      <c r="AD231" s="112" t="str">
        <f t="shared" si="63"/>
        <v/>
      </c>
    </row>
    <row r="232" spans="1:30" x14ac:dyDescent="0.2">
      <c r="A232" s="112" t="str">
        <f>IF(SUM(Q232:R232)=1,1+MAX($A$1:A231),"")</f>
        <v/>
      </c>
      <c r="B232" s="112" t="str">
        <f>IF(SUM(X232:Y232)=1,1+MAX($B$1:B231),"")</f>
        <v/>
      </c>
      <c r="C232" s="112" t="str">
        <f>IF(SUM(Q232:R232,X232:Y232)=2,1+MAX($C$1:C231),"")</f>
        <v/>
      </c>
      <c r="D232" s="113">
        <v>37415</v>
      </c>
      <c r="E232" s="112">
        <v>2002</v>
      </c>
      <c r="F232" s="112" t="s">
        <v>2656</v>
      </c>
      <c r="G232" s="112" t="s">
        <v>2657</v>
      </c>
      <c r="H232" s="114" t="s">
        <v>1024</v>
      </c>
      <c r="I232" s="112">
        <f t="shared" si="48"/>
        <v>2</v>
      </c>
      <c r="J232" s="112">
        <f t="shared" si="49"/>
        <v>1</v>
      </c>
      <c r="K232" s="115" t="s">
        <v>2674</v>
      </c>
      <c r="L232" s="115" t="s">
        <v>2840</v>
      </c>
      <c r="M232" s="115" t="s">
        <v>2784</v>
      </c>
      <c r="N232" s="115">
        <v>36472</v>
      </c>
      <c r="O232" s="112">
        <v>2</v>
      </c>
      <c r="P232" s="116" t="s">
        <v>2626</v>
      </c>
      <c r="Q232" s="112" t="str">
        <f t="shared" si="50"/>
        <v/>
      </c>
      <c r="R232" s="112" t="str">
        <f t="shared" si="51"/>
        <v/>
      </c>
      <c r="S232" s="112" t="str">
        <f t="shared" si="54"/>
        <v/>
      </c>
      <c r="T232" s="112" t="str">
        <f t="shared" si="55"/>
        <v/>
      </c>
      <c r="U232" s="112" t="str">
        <f t="shared" si="56"/>
        <v/>
      </c>
      <c r="V232" s="112" t="str">
        <f t="shared" si="57"/>
        <v/>
      </c>
      <c r="W232" s="112" t="str">
        <f t="shared" si="58"/>
        <v/>
      </c>
      <c r="X232" s="112" t="str">
        <f t="shared" si="52"/>
        <v/>
      </c>
      <c r="Y232" s="112" t="str">
        <f t="shared" si="53"/>
        <v/>
      </c>
      <c r="Z232" s="112" t="str">
        <f t="shared" si="59"/>
        <v/>
      </c>
      <c r="AA232" s="112" t="str">
        <f t="shared" si="60"/>
        <v/>
      </c>
      <c r="AB232" s="112" t="str">
        <f t="shared" si="61"/>
        <v/>
      </c>
      <c r="AC232" s="112" t="str">
        <f t="shared" si="62"/>
        <v/>
      </c>
      <c r="AD232" s="112" t="str">
        <f t="shared" si="63"/>
        <v/>
      </c>
    </row>
    <row r="233" spans="1:30" x14ac:dyDescent="0.2">
      <c r="A233" s="112" t="str">
        <f>IF(SUM(Q233:R233)=1,1+MAX($A$1:A232),"")</f>
        <v/>
      </c>
      <c r="B233" s="112" t="str">
        <f>IF(SUM(X233:Y233)=1,1+MAX($B$1:B232),"")</f>
        <v/>
      </c>
      <c r="C233" s="112" t="str">
        <f>IF(SUM(Q233:R233,X233:Y233)=2,1+MAX($C$1:C232),"")</f>
        <v/>
      </c>
      <c r="D233" s="113">
        <v>37415</v>
      </c>
      <c r="E233" s="112">
        <v>2002</v>
      </c>
      <c r="F233" s="112" t="s">
        <v>2677</v>
      </c>
      <c r="G233" s="112" t="s">
        <v>2678</v>
      </c>
      <c r="H233" s="114" t="s">
        <v>1442</v>
      </c>
      <c r="I233" s="112">
        <f t="shared" si="48"/>
        <v>4</v>
      </c>
      <c r="J233" s="112">
        <f t="shared" si="49"/>
        <v>0</v>
      </c>
      <c r="K233" s="115" t="s">
        <v>2728</v>
      </c>
      <c r="L233" s="115" t="s">
        <v>2826</v>
      </c>
      <c r="M233" s="115" t="s">
        <v>2822</v>
      </c>
      <c r="N233" s="115">
        <v>36750</v>
      </c>
      <c r="O233" s="112">
        <v>2</v>
      </c>
      <c r="P233" s="116" t="s">
        <v>2710</v>
      </c>
      <c r="Q233" s="112" t="str">
        <f t="shared" si="50"/>
        <v/>
      </c>
      <c r="R233" s="112" t="str">
        <f t="shared" si="51"/>
        <v/>
      </c>
      <c r="S233" s="112" t="str">
        <f t="shared" si="54"/>
        <v/>
      </c>
      <c r="T233" s="112" t="str">
        <f t="shared" si="55"/>
        <v/>
      </c>
      <c r="U233" s="112" t="str">
        <f t="shared" si="56"/>
        <v/>
      </c>
      <c r="V233" s="112" t="str">
        <f t="shared" si="57"/>
        <v/>
      </c>
      <c r="W233" s="112" t="str">
        <f t="shared" si="58"/>
        <v/>
      </c>
      <c r="X233" s="112" t="str">
        <f t="shared" si="52"/>
        <v/>
      </c>
      <c r="Y233" s="112" t="str">
        <f t="shared" si="53"/>
        <v/>
      </c>
      <c r="Z233" s="112" t="str">
        <f t="shared" si="59"/>
        <v/>
      </c>
      <c r="AA233" s="112" t="str">
        <f t="shared" si="60"/>
        <v/>
      </c>
      <c r="AB233" s="112" t="str">
        <f t="shared" si="61"/>
        <v/>
      </c>
      <c r="AC233" s="112" t="str">
        <f t="shared" si="62"/>
        <v/>
      </c>
      <c r="AD233" s="112" t="str">
        <f t="shared" si="63"/>
        <v/>
      </c>
    </row>
    <row r="234" spans="1:30" x14ac:dyDescent="0.2">
      <c r="A234" s="112" t="str">
        <f>IF(SUM(Q234:R234)=1,1+MAX($A$1:A233),"")</f>
        <v/>
      </c>
      <c r="B234" s="112" t="str">
        <f>IF(SUM(X234:Y234)=1,1+MAX($B$1:B233),"")</f>
        <v/>
      </c>
      <c r="C234" s="112" t="str">
        <f>IF(SUM(Q234:R234,X234:Y234)=2,1+MAX($C$1:C233),"")</f>
        <v/>
      </c>
      <c r="D234" s="113">
        <v>37415</v>
      </c>
      <c r="E234" s="112">
        <v>2002</v>
      </c>
      <c r="F234" s="112" t="s">
        <v>2684</v>
      </c>
      <c r="G234" s="112" t="s">
        <v>2685</v>
      </c>
      <c r="H234" s="114" t="s">
        <v>2718</v>
      </c>
      <c r="I234" s="112">
        <f t="shared" si="48"/>
        <v>0</v>
      </c>
      <c r="J234" s="112">
        <f t="shared" si="49"/>
        <v>1</v>
      </c>
      <c r="K234" s="115" t="s">
        <v>2692</v>
      </c>
      <c r="L234" s="115" t="s">
        <v>2800</v>
      </c>
      <c r="M234" s="115" t="s">
        <v>2830</v>
      </c>
      <c r="N234" s="115">
        <v>47226</v>
      </c>
      <c r="O234" s="112">
        <v>2</v>
      </c>
      <c r="P234" s="116" t="s">
        <v>2601</v>
      </c>
      <c r="Q234" s="112" t="str">
        <f t="shared" si="50"/>
        <v/>
      </c>
      <c r="R234" s="112" t="str">
        <f t="shared" si="51"/>
        <v/>
      </c>
      <c r="S234" s="112" t="str">
        <f t="shared" si="54"/>
        <v/>
      </c>
      <c r="T234" s="112" t="str">
        <f t="shared" si="55"/>
        <v/>
      </c>
      <c r="U234" s="112" t="str">
        <f t="shared" si="56"/>
        <v/>
      </c>
      <c r="V234" s="112" t="str">
        <f t="shared" si="57"/>
        <v/>
      </c>
      <c r="W234" s="112" t="str">
        <f t="shared" si="58"/>
        <v/>
      </c>
      <c r="X234" s="112" t="str">
        <f t="shared" si="52"/>
        <v/>
      </c>
      <c r="Y234" s="112" t="str">
        <f t="shared" si="53"/>
        <v/>
      </c>
      <c r="Z234" s="112" t="str">
        <f t="shared" si="59"/>
        <v/>
      </c>
      <c r="AA234" s="112" t="str">
        <f t="shared" si="60"/>
        <v/>
      </c>
      <c r="AB234" s="112" t="str">
        <f t="shared" si="61"/>
        <v/>
      </c>
      <c r="AC234" s="112" t="str">
        <f t="shared" si="62"/>
        <v/>
      </c>
      <c r="AD234" s="112" t="str">
        <f t="shared" si="63"/>
        <v/>
      </c>
    </row>
    <row r="235" spans="1:30" x14ac:dyDescent="0.2">
      <c r="A235" s="112">
        <f>IF(SUM(Q235:R235)=1,1+MAX($A$1:A234),"")</f>
        <v>16</v>
      </c>
      <c r="B235" s="112">
        <f>IF(SUM(X235:Y235)=1,1+MAX($B$1:B234),"")</f>
        <v>19</v>
      </c>
      <c r="C235" s="112">
        <f>IF(SUM(Q235:R235,X235:Y235)=2,1+MAX($C$1:C234),"")</f>
        <v>1</v>
      </c>
      <c r="D235" s="113">
        <v>37414</v>
      </c>
      <c r="E235" s="112">
        <v>2002</v>
      </c>
      <c r="F235" s="112" t="s">
        <v>2661</v>
      </c>
      <c r="G235" s="112" t="s">
        <v>2662</v>
      </c>
      <c r="H235" s="114" t="s">
        <v>1134</v>
      </c>
      <c r="I235" s="112">
        <f t="shared" si="48"/>
        <v>0</v>
      </c>
      <c r="J235" s="112">
        <f t="shared" si="49"/>
        <v>1</v>
      </c>
      <c r="K235" s="115" t="s">
        <v>2545</v>
      </c>
      <c r="L235" s="115" t="s">
        <v>2841</v>
      </c>
      <c r="M235" s="115" t="s">
        <v>2798</v>
      </c>
      <c r="N235" s="115">
        <v>35927</v>
      </c>
      <c r="O235" s="112">
        <v>2</v>
      </c>
      <c r="P235" s="116" t="s">
        <v>2601</v>
      </c>
      <c r="Q235" s="112" t="str">
        <f t="shared" si="50"/>
        <v/>
      </c>
      <c r="R235" s="112">
        <f t="shared" si="51"/>
        <v>1</v>
      </c>
      <c r="S235" s="112">
        <f t="shared" si="54"/>
        <v>1</v>
      </c>
      <c r="T235" s="112">
        <f t="shared" si="55"/>
        <v>0</v>
      </c>
      <c r="U235" s="112">
        <f t="shared" si="56"/>
        <v>0</v>
      </c>
      <c r="V235" s="112">
        <f t="shared" si="57"/>
        <v>1</v>
      </c>
      <c r="W235" s="112">
        <f t="shared" si="58"/>
        <v>1</v>
      </c>
      <c r="X235" s="112">
        <f t="shared" si="52"/>
        <v>1</v>
      </c>
      <c r="Y235" s="112" t="str">
        <f t="shared" si="53"/>
        <v/>
      </c>
      <c r="Z235" s="112">
        <f t="shared" si="59"/>
        <v>0</v>
      </c>
      <c r="AA235" s="112">
        <f t="shared" si="60"/>
        <v>0</v>
      </c>
      <c r="AB235" s="112">
        <f t="shared" si="61"/>
        <v>1</v>
      </c>
      <c r="AC235" s="112">
        <f t="shared" si="62"/>
        <v>1</v>
      </c>
      <c r="AD235" s="112">
        <f t="shared" si="63"/>
        <v>-1</v>
      </c>
    </row>
    <row r="236" spans="1:30" x14ac:dyDescent="0.2">
      <c r="A236" s="112" t="str">
        <f>IF(SUM(Q236:R236)=1,1+MAX($A$1:A235),"")</f>
        <v/>
      </c>
      <c r="B236" s="112" t="str">
        <f>IF(SUM(X236:Y236)=1,1+MAX($B$1:B235),"")</f>
        <v/>
      </c>
      <c r="C236" s="112" t="str">
        <f>IF(SUM(Q236:R236,X236:Y236)=2,1+MAX($C$1:C235),"")</f>
        <v/>
      </c>
      <c r="D236" s="113">
        <v>37414</v>
      </c>
      <c r="E236" s="112">
        <v>2002</v>
      </c>
      <c r="F236" s="112" t="s">
        <v>2661</v>
      </c>
      <c r="G236" s="112" t="s">
        <v>2662</v>
      </c>
      <c r="H236" s="114" t="s">
        <v>2542</v>
      </c>
      <c r="I236" s="112">
        <f t="shared" si="48"/>
        <v>1</v>
      </c>
      <c r="J236" s="112">
        <f t="shared" si="49"/>
        <v>2</v>
      </c>
      <c r="K236" s="115" t="s">
        <v>2549</v>
      </c>
      <c r="L236" s="115" t="s">
        <v>2817</v>
      </c>
      <c r="M236" s="115" t="s">
        <v>2842</v>
      </c>
      <c r="N236" s="115">
        <v>36194</v>
      </c>
      <c r="O236" s="112">
        <v>2</v>
      </c>
      <c r="P236" s="116" t="s">
        <v>2638</v>
      </c>
      <c r="Q236" s="112" t="str">
        <f t="shared" si="50"/>
        <v/>
      </c>
      <c r="R236" s="112" t="str">
        <f t="shared" si="51"/>
        <v/>
      </c>
      <c r="S236" s="112" t="str">
        <f t="shared" si="54"/>
        <v/>
      </c>
      <c r="T236" s="112" t="str">
        <f t="shared" si="55"/>
        <v/>
      </c>
      <c r="U236" s="112" t="str">
        <f t="shared" si="56"/>
        <v/>
      </c>
      <c r="V236" s="112" t="str">
        <f t="shared" si="57"/>
        <v/>
      </c>
      <c r="W236" s="112" t="str">
        <f t="shared" si="58"/>
        <v/>
      </c>
      <c r="X236" s="112" t="str">
        <f t="shared" si="52"/>
        <v/>
      </c>
      <c r="Y236" s="112" t="str">
        <f t="shared" si="53"/>
        <v/>
      </c>
      <c r="Z236" s="112" t="str">
        <f t="shared" si="59"/>
        <v/>
      </c>
      <c r="AA236" s="112" t="str">
        <f t="shared" si="60"/>
        <v/>
      </c>
      <c r="AB236" s="112" t="str">
        <f t="shared" si="61"/>
        <v/>
      </c>
      <c r="AC236" s="112" t="str">
        <f t="shared" si="62"/>
        <v/>
      </c>
      <c r="AD236" s="112" t="str">
        <f t="shared" si="63"/>
        <v/>
      </c>
    </row>
    <row r="237" spans="1:30" x14ac:dyDescent="0.2">
      <c r="A237" s="112" t="str">
        <f>IF(SUM(Q237:R237)=1,1+MAX($A$1:A236),"")</f>
        <v/>
      </c>
      <c r="B237" s="112" t="str">
        <f>IF(SUM(X237:Y237)=1,1+MAX($B$1:B236),"")</f>
        <v/>
      </c>
      <c r="C237" s="112" t="str">
        <f>IF(SUM(Q237:R237,X237:Y237)=2,1+MAX($C$1:C236),"")</f>
        <v/>
      </c>
      <c r="D237" s="113">
        <v>37414</v>
      </c>
      <c r="E237" s="112">
        <v>2002</v>
      </c>
      <c r="F237" s="112" t="s">
        <v>2684</v>
      </c>
      <c r="G237" s="112" t="s">
        <v>2685</v>
      </c>
      <c r="H237" s="114" t="s">
        <v>2709</v>
      </c>
      <c r="I237" s="112">
        <f t="shared" si="48"/>
        <v>1</v>
      </c>
      <c r="J237" s="112">
        <f t="shared" si="49"/>
        <v>3</v>
      </c>
      <c r="K237" s="115" t="s">
        <v>2557</v>
      </c>
      <c r="L237" s="115" t="s">
        <v>2819</v>
      </c>
      <c r="M237" s="115" t="s">
        <v>2808</v>
      </c>
      <c r="N237" s="115">
        <v>24000</v>
      </c>
      <c r="O237" s="112">
        <v>3</v>
      </c>
      <c r="P237" s="116" t="s">
        <v>2691</v>
      </c>
      <c r="Q237" s="112" t="str">
        <f t="shared" si="50"/>
        <v/>
      </c>
      <c r="R237" s="112" t="str">
        <f t="shared" si="51"/>
        <v/>
      </c>
      <c r="S237" s="112" t="str">
        <f t="shared" si="54"/>
        <v/>
      </c>
      <c r="T237" s="112" t="str">
        <f t="shared" si="55"/>
        <v/>
      </c>
      <c r="U237" s="112" t="str">
        <f t="shared" si="56"/>
        <v/>
      </c>
      <c r="V237" s="112" t="str">
        <f t="shared" si="57"/>
        <v/>
      </c>
      <c r="W237" s="112" t="str">
        <f t="shared" si="58"/>
        <v/>
      </c>
      <c r="X237" s="112" t="str">
        <f t="shared" si="52"/>
        <v/>
      </c>
      <c r="Y237" s="112" t="str">
        <f t="shared" si="53"/>
        <v/>
      </c>
      <c r="Z237" s="112" t="str">
        <f t="shared" si="59"/>
        <v/>
      </c>
      <c r="AA237" s="112" t="str">
        <f t="shared" si="60"/>
        <v/>
      </c>
      <c r="AB237" s="112" t="str">
        <f t="shared" si="61"/>
        <v/>
      </c>
      <c r="AC237" s="112" t="str">
        <f t="shared" si="62"/>
        <v/>
      </c>
      <c r="AD237" s="112" t="str">
        <f t="shared" si="63"/>
        <v/>
      </c>
    </row>
    <row r="238" spans="1:30" x14ac:dyDescent="0.2">
      <c r="A238" s="112" t="str">
        <f>IF(SUM(Q238:R238)=1,1+MAX($A$1:A237),"")</f>
        <v/>
      </c>
      <c r="B238" s="112" t="str">
        <f>IF(SUM(X238:Y238)=1,1+MAX($B$1:B237),"")</f>
        <v/>
      </c>
      <c r="C238" s="112" t="str">
        <f>IF(SUM(Q238:R238,X238:Y238)=2,1+MAX($C$1:C237),"")</f>
        <v/>
      </c>
      <c r="D238" s="113">
        <v>37413</v>
      </c>
      <c r="E238" s="112">
        <v>2002</v>
      </c>
      <c r="F238" s="112" t="s">
        <v>2666</v>
      </c>
      <c r="G238" s="112" t="s">
        <v>2667</v>
      </c>
      <c r="H238" s="114" t="s">
        <v>2693</v>
      </c>
      <c r="I238" s="112">
        <f t="shared" si="48"/>
        <v>1</v>
      </c>
      <c r="J238" s="112">
        <f t="shared" si="49"/>
        <v>0</v>
      </c>
      <c r="K238" s="115" t="s">
        <v>2559</v>
      </c>
      <c r="L238" s="115" t="s">
        <v>2802</v>
      </c>
      <c r="M238" s="115" t="s">
        <v>2843</v>
      </c>
      <c r="N238" s="115">
        <v>52328</v>
      </c>
      <c r="O238" s="112">
        <v>2</v>
      </c>
      <c r="P238" s="116" t="s">
        <v>2622</v>
      </c>
      <c r="Q238" s="112" t="str">
        <f t="shared" si="50"/>
        <v/>
      </c>
      <c r="R238" s="112" t="str">
        <f t="shared" si="51"/>
        <v/>
      </c>
      <c r="S238" s="112" t="str">
        <f t="shared" si="54"/>
        <v/>
      </c>
      <c r="T238" s="112" t="str">
        <f t="shared" si="55"/>
        <v/>
      </c>
      <c r="U238" s="112" t="str">
        <f t="shared" si="56"/>
        <v/>
      </c>
      <c r="V238" s="112" t="str">
        <f t="shared" si="57"/>
        <v/>
      </c>
      <c r="W238" s="112" t="str">
        <f t="shared" si="58"/>
        <v/>
      </c>
      <c r="X238" s="112" t="str">
        <f t="shared" si="52"/>
        <v/>
      </c>
      <c r="Y238" s="112" t="str">
        <f t="shared" si="53"/>
        <v/>
      </c>
      <c r="Z238" s="112" t="str">
        <f t="shared" si="59"/>
        <v/>
      </c>
      <c r="AA238" s="112" t="str">
        <f t="shared" si="60"/>
        <v/>
      </c>
      <c r="AB238" s="112" t="str">
        <f t="shared" si="61"/>
        <v/>
      </c>
      <c r="AC238" s="112" t="str">
        <f t="shared" si="62"/>
        <v/>
      </c>
      <c r="AD238" s="112" t="str">
        <f t="shared" si="63"/>
        <v/>
      </c>
    </row>
    <row r="239" spans="1:30" x14ac:dyDescent="0.2">
      <c r="A239" s="112" t="str">
        <f>IF(SUM(Q239:R239)=1,1+MAX($A$1:A238),"")</f>
        <v/>
      </c>
      <c r="B239" s="112" t="str">
        <f>IF(SUM(X239:Y239)=1,1+MAX($B$1:B238),"")</f>
        <v/>
      </c>
      <c r="C239" s="112" t="str">
        <f>IF(SUM(Q239:R239,X239:Y239)=2,1+MAX($C$1:C238),"")</f>
        <v/>
      </c>
      <c r="D239" s="113">
        <v>37413</v>
      </c>
      <c r="E239" s="112">
        <v>2002</v>
      </c>
      <c r="F239" s="112" t="s">
        <v>2689</v>
      </c>
      <c r="G239" s="112" t="s">
        <v>2690</v>
      </c>
      <c r="H239" s="114" t="s">
        <v>2541</v>
      </c>
      <c r="I239" s="112">
        <f t="shared" si="48"/>
        <v>0</v>
      </c>
      <c r="J239" s="112">
        <f t="shared" si="49"/>
        <v>0</v>
      </c>
      <c r="K239" s="115" t="s">
        <v>2540</v>
      </c>
      <c r="L239" s="115" t="s">
        <v>2844</v>
      </c>
      <c r="M239" s="115" t="s">
        <v>2812</v>
      </c>
      <c r="N239" s="115">
        <v>38289</v>
      </c>
      <c r="O239" s="112">
        <v>3</v>
      </c>
      <c r="P239" s="116" t="s">
        <v>2613</v>
      </c>
      <c r="Q239" s="112" t="str">
        <f t="shared" si="50"/>
        <v/>
      </c>
      <c r="R239" s="112" t="str">
        <f t="shared" si="51"/>
        <v/>
      </c>
      <c r="S239" s="112" t="str">
        <f t="shared" si="54"/>
        <v/>
      </c>
      <c r="T239" s="112" t="str">
        <f t="shared" si="55"/>
        <v/>
      </c>
      <c r="U239" s="112" t="str">
        <f t="shared" si="56"/>
        <v/>
      </c>
      <c r="V239" s="112" t="str">
        <f t="shared" si="57"/>
        <v/>
      </c>
      <c r="W239" s="112" t="str">
        <f t="shared" si="58"/>
        <v/>
      </c>
      <c r="X239" s="112" t="str">
        <f t="shared" si="52"/>
        <v/>
      </c>
      <c r="Y239" s="112" t="str">
        <f t="shared" si="53"/>
        <v/>
      </c>
      <c r="Z239" s="112" t="str">
        <f t="shared" si="59"/>
        <v/>
      </c>
      <c r="AA239" s="112" t="str">
        <f t="shared" si="60"/>
        <v/>
      </c>
      <c r="AB239" s="112" t="str">
        <f t="shared" si="61"/>
        <v/>
      </c>
      <c r="AC239" s="112" t="str">
        <f t="shared" si="62"/>
        <v/>
      </c>
      <c r="AD239" s="112" t="str">
        <f t="shared" si="63"/>
        <v/>
      </c>
    </row>
    <row r="240" spans="1:30" x14ac:dyDescent="0.2">
      <c r="A240" s="112" t="str">
        <f>IF(SUM(Q240:R240)=1,1+MAX($A$1:A239),"")</f>
        <v/>
      </c>
      <c r="B240" s="112" t="str">
        <f>IF(SUM(X240:Y240)=1,1+MAX($B$1:B239),"")</f>
        <v/>
      </c>
      <c r="C240" s="112" t="str">
        <f>IF(SUM(Q240:R240,X240:Y240)=2,1+MAX($C$1:C239),"")</f>
        <v/>
      </c>
      <c r="D240" s="113">
        <v>37413</v>
      </c>
      <c r="E240" s="112">
        <v>2002</v>
      </c>
      <c r="F240" s="112" t="s">
        <v>2689</v>
      </c>
      <c r="G240" s="112" t="s">
        <v>2690</v>
      </c>
      <c r="H240" s="114" t="s">
        <v>2548</v>
      </c>
      <c r="I240" s="112">
        <f t="shared" si="48"/>
        <v>1</v>
      </c>
      <c r="J240" s="112">
        <f t="shared" si="49"/>
        <v>1</v>
      </c>
      <c r="K240" s="115" t="s">
        <v>2142</v>
      </c>
      <c r="L240" s="115" t="s">
        <v>2800</v>
      </c>
      <c r="M240" s="115" t="s">
        <v>2731</v>
      </c>
      <c r="N240" s="115">
        <v>43500</v>
      </c>
      <c r="O240" s="112">
        <v>2</v>
      </c>
      <c r="P240" s="116" t="s">
        <v>2645</v>
      </c>
      <c r="Q240" s="112" t="str">
        <f t="shared" si="50"/>
        <v/>
      </c>
      <c r="R240" s="112" t="str">
        <f t="shared" si="51"/>
        <v/>
      </c>
      <c r="S240" s="112" t="str">
        <f t="shared" si="54"/>
        <v/>
      </c>
      <c r="T240" s="112" t="str">
        <f t="shared" si="55"/>
        <v/>
      </c>
      <c r="U240" s="112" t="str">
        <f t="shared" si="56"/>
        <v/>
      </c>
      <c r="V240" s="112" t="str">
        <f t="shared" si="57"/>
        <v/>
      </c>
      <c r="W240" s="112" t="str">
        <f t="shared" si="58"/>
        <v/>
      </c>
      <c r="X240" s="112" t="str">
        <f t="shared" si="52"/>
        <v/>
      </c>
      <c r="Y240" s="112" t="str">
        <f t="shared" si="53"/>
        <v/>
      </c>
      <c r="Z240" s="112" t="str">
        <f t="shared" si="59"/>
        <v/>
      </c>
      <c r="AA240" s="112" t="str">
        <f t="shared" si="60"/>
        <v/>
      </c>
      <c r="AB240" s="112" t="str">
        <f t="shared" si="61"/>
        <v/>
      </c>
      <c r="AC240" s="112" t="str">
        <f t="shared" si="62"/>
        <v/>
      </c>
      <c r="AD240" s="112" t="str">
        <f t="shared" si="63"/>
        <v/>
      </c>
    </row>
    <row r="241" spans="1:30" x14ac:dyDescent="0.2">
      <c r="A241" s="112" t="str">
        <f>IF(SUM(Q241:R241)=1,1+MAX($A$1:A240),"")</f>
        <v/>
      </c>
      <c r="B241" s="112" t="str">
        <f>IF(SUM(X241:Y241)=1,1+MAX($B$1:B240),"")</f>
        <v/>
      </c>
      <c r="C241" s="112" t="str">
        <f>IF(SUM(Q241:R241,X241:Y241)=2,1+MAX($C$1:C240),"")</f>
        <v/>
      </c>
      <c r="D241" s="113">
        <v>37412</v>
      </c>
      <c r="E241" s="112">
        <v>2002</v>
      </c>
      <c r="F241" s="112" t="s">
        <v>2652</v>
      </c>
      <c r="G241" s="112" t="s">
        <v>2653</v>
      </c>
      <c r="H241" s="114" t="s">
        <v>2546</v>
      </c>
      <c r="I241" s="112">
        <f t="shared" si="48"/>
        <v>2</v>
      </c>
      <c r="J241" s="112">
        <f t="shared" si="49"/>
        <v>0</v>
      </c>
      <c r="K241" s="115" t="s">
        <v>2388</v>
      </c>
      <c r="L241" s="115" t="s">
        <v>2817</v>
      </c>
      <c r="M241" s="115" t="s">
        <v>2818</v>
      </c>
      <c r="N241" s="115">
        <v>30957</v>
      </c>
      <c r="O241" s="112">
        <v>2</v>
      </c>
      <c r="P241" s="116" t="s">
        <v>2641</v>
      </c>
      <c r="Q241" s="112" t="str">
        <f t="shared" si="50"/>
        <v/>
      </c>
      <c r="R241" s="112" t="str">
        <f t="shared" si="51"/>
        <v/>
      </c>
      <c r="S241" s="112" t="str">
        <f t="shared" si="54"/>
        <v/>
      </c>
      <c r="T241" s="112" t="str">
        <f t="shared" si="55"/>
        <v/>
      </c>
      <c r="U241" s="112" t="str">
        <f t="shared" si="56"/>
        <v/>
      </c>
      <c r="V241" s="112" t="str">
        <f t="shared" si="57"/>
        <v/>
      </c>
      <c r="W241" s="112" t="str">
        <f t="shared" si="58"/>
        <v/>
      </c>
      <c r="X241" s="112" t="str">
        <f t="shared" si="52"/>
        <v/>
      </c>
      <c r="Y241" s="112" t="str">
        <f t="shared" si="53"/>
        <v/>
      </c>
      <c r="Z241" s="112" t="str">
        <f t="shared" si="59"/>
        <v/>
      </c>
      <c r="AA241" s="112" t="str">
        <f t="shared" si="60"/>
        <v/>
      </c>
      <c r="AB241" s="112" t="str">
        <f t="shared" si="61"/>
        <v/>
      </c>
      <c r="AC241" s="112" t="str">
        <f t="shared" si="62"/>
        <v/>
      </c>
      <c r="AD241" s="112" t="str">
        <f t="shared" si="63"/>
        <v/>
      </c>
    </row>
    <row r="242" spans="1:30" x14ac:dyDescent="0.2">
      <c r="A242" s="112" t="str">
        <f>IF(SUM(Q242:R242)=1,1+MAX($A$1:A241),"")</f>
        <v/>
      </c>
      <c r="B242" s="112" t="str">
        <f>IF(SUM(X242:Y242)=1,1+MAX($B$1:B241),"")</f>
        <v/>
      </c>
      <c r="C242" s="112" t="str">
        <f>IF(SUM(Q242:R242,X242:Y242)=2,1+MAX($C$1:C241),"")</f>
        <v/>
      </c>
      <c r="D242" s="113">
        <v>37412</v>
      </c>
      <c r="E242" s="112">
        <v>2002</v>
      </c>
      <c r="F242" s="112" t="s">
        <v>2666</v>
      </c>
      <c r="G242" s="112" t="s">
        <v>2667</v>
      </c>
      <c r="H242" s="114" t="s">
        <v>2547</v>
      </c>
      <c r="I242" s="112">
        <f t="shared" si="48"/>
        <v>1</v>
      </c>
      <c r="J242" s="112">
        <f t="shared" si="49"/>
        <v>1</v>
      </c>
      <c r="K242" s="115" t="s">
        <v>2676</v>
      </c>
      <c r="L242" s="115" t="s">
        <v>2840</v>
      </c>
      <c r="M242" s="115" t="s">
        <v>2803</v>
      </c>
      <c r="N242" s="115">
        <v>35854</v>
      </c>
      <c r="O242" s="112">
        <v>2</v>
      </c>
      <c r="P242" s="116" t="s">
        <v>2645</v>
      </c>
      <c r="Q242" s="112" t="str">
        <f t="shared" si="50"/>
        <v/>
      </c>
      <c r="R242" s="112" t="str">
        <f t="shared" si="51"/>
        <v/>
      </c>
      <c r="S242" s="112" t="str">
        <f t="shared" si="54"/>
        <v/>
      </c>
      <c r="T242" s="112" t="str">
        <f t="shared" si="55"/>
        <v/>
      </c>
      <c r="U242" s="112" t="str">
        <f t="shared" si="56"/>
        <v/>
      </c>
      <c r="V242" s="112" t="str">
        <f t="shared" si="57"/>
        <v/>
      </c>
      <c r="W242" s="112" t="str">
        <f t="shared" si="58"/>
        <v/>
      </c>
      <c r="X242" s="112" t="str">
        <f t="shared" si="52"/>
        <v/>
      </c>
      <c r="Y242" s="112" t="str">
        <f t="shared" si="53"/>
        <v/>
      </c>
      <c r="Z242" s="112" t="str">
        <f t="shared" si="59"/>
        <v/>
      </c>
      <c r="AA242" s="112" t="str">
        <f t="shared" si="60"/>
        <v/>
      </c>
      <c r="AB242" s="112" t="str">
        <f t="shared" si="61"/>
        <v/>
      </c>
      <c r="AC242" s="112" t="str">
        <f t="shared" si="62"/>
        <v/>
      </c>
      <c r="AD242" s="112" t="str">
        <f t="shared" si="63"/>
        <v/>
      </c>
    </row>
    <row r="243" spans="1:30" x14ac:dyDescent="0.2">
      <c r="A243" s="112" t="str">
        <f>IF(SUM(Q243:R243)=1,1+MAX($A$1:A242),"")</f>
        <v/>
      </c>
      <c r="B243" s="112" t="str">
        <f>IF(SUM(X243:Y243)=1,1+MAX($B$1:B242),"")</f>
        <v/>
      </c>
      <c r="C243" s="112" t="str">
        <f>IF(SUM(Q243:R243,X243:Y243)=2,1+MAX($C$1:C242),"")</f>
        <v/>
      </c>
      <c r="D243" s="113">
        <v>37412</v>
      </c>
      <c r="E243" s="112">
        <v>2002</v>
      </c>
      <c r="F243" s="112" t="s">
        <v>2672</v>
      </c>
      <c r="G243" s="112" t="s">
        <v>2673</v>
      </c>
      <c r="H243" s="114" t="s">
        <v>2556</v>
      </c>
      <c r="I243" s="112">
        <f t="shared" si="48"/>
        <v>2</v>
      </c>
      <c r="J243" s="112">
        <f t="shared" si="49"/>
        <v>3</v>
      </c>
      <c r="K243" s="115" t="s">
        <v>2614</v>
      </c>
      <c r="L243" s="115" t="s">
        <v>2821</v>
      </c>
      <c r="M243" s="115" t="s">
        <v>2814</v>
      </c>
      <c r="N243" s="115">
        <v>37306</v>
      </c>
      <c r="O243" s="112">
        <v>3</v>
      </c>
      <c r="P243" s="116" t="s">
        <v>2706</v>
      </c>
      <c r="Q243" s="112" t="str">
        <f t="shared" si="50"/>
        <v/>
      </c>
      <c r="R243" s="112" t="str">
        <f t="shared" si="51"/>
        <v/>
      </c>
      <c r="S243" s="112" t="str">
        <f t="shared" si="54"/>
        <v/>
      </c>
      <c r="T243" s="112" t="str">
        <f t="shared" si="55"/>
        <v/>
      </c>
      <c r="U243" s="112" t="str">
        <f t="shared" si="56"/>
        <v/>
      </c>
      <c r="V243" s="112" t="str">
        <f t="shared" si="57"/>
        <v/>
      </c>
      <c r="W243" s="112" t="str">
        <f t="shared" si="58"/>
        <v/>
      </c>
      <c r="X243" s="112" t="str">
        <f t="shared" si="52"/>
        <v/>
      </c>
      <c r="Y243" s="112" t="str">
        <f t="shared" si="53"/>
        <v/>
      </c>
      <c r="Z243" s="112" t="str">
        <f t="shared" si="59"/>
        <v/>
      </c>
      <c r="AA243" s="112" t="str">
        <f t="shared" si="60"/>
        <v/>
      </c>
      <c r="AB243" s="112" t="str">
        <f t="shared" si="61"/>
        <v/>
      </c>
      <c r="AC243" s="112" t="str">
        <f t="shared" si="62"/>
        <v/>
      </c>
      <c r="AD243" s="112" t="str">
        <f t="shared" si="63"/>
        <v/>
      </c>
    </row>
    <row r="244" spans="1:30" x14ac:dyDescent="0.2">
      <c r="A244" s="112" t="str">
        <f>IF(SUM(Q244:R244)=1,1+MAX($A$1:A243),"")</f>
        <v/>
      </c>
      <c r="B244" s="112" t="str">
        <f>IF(SUM(X244:Y244)=1,1+MAX($B$1:B243),"")</f>
        <v/>
      </c>
      <c r="C244" s="112" t="str">
        <f>IF(SUM(Q244:R244,X244:Y244)=2,1+MAX($C$1:C243),"")</f>
        <v/>
      </c>
      <c r="D244" s="113">
        <v>37411</v>
      </c>
      <c r="E244" s="112">
        <v>2002</v>
      </c>
      <c r="F244" s="112" t="s">
        <v>2652</v>
      </c>
      <c r="G244" s="112" t="s">
        <v>2653</v>
      </c>
      <c r="H244" s="114" t="s">
        <v>2554</v>
      </c>
      <c r="I244" s="112">
        <f t="shared" si="48"/>
        <v>2</v>
      </c>
      <c r="J244" s="112">
        <f t="shared" si="49"/>
        <v>2</v>
      </c>
      <c r="K244" s="115" t="s">
        <v>1395</v>
      </c>
      <c r="L244" s="115" t="s">
        <v>2802</v>
      </c>
      <c r="M244" s="115" t="s">
        <v>2831</v>
      </c>
      <c r="N244" s="115">
        <v>55256</v>
      </c>
      <c r="O244" s="112">
        <v>2</v>
      </c>
      <c r="P244" s="116" t="s">
        <v>2697</v>
      </c>
      <c r="Q244" s="112" t="str">
        <f t="shared" si="50"/>
        <v/>
      </c>
      <c r="R244" s="112" t="str">
        <f t="shared" si="51"/>
        <v/>
      </c>
      <c r="S244" s="112" t="str">
        <f t="shared" si="54"/>
        <v/>
      </c>
      <c r="T244" s="112" t="str">
        <f t="shared" si="55"/>
        <v/>
      </c>
      <c r="U244" s="112" t="str">
        <f t="shared" si="56"/>
        <v/>
      </c>
      <c r="V244" s="112" t="str">
        <f t="shared" si="57"/>
        <v/>
      </c>
      <c r="W244" s="112" t="str">
        <f t="shared" si="58"/>
        <v/>
      </c>
      <c r="X244" s="112" t="str">
        <f t="shared" si="52"/>
        <v/>
      </c>
      <c r="Y244" s="112" t="str">
        <f t="shared" si="53"/>
        <v/>
      </c>
      <c r="Z244" s="112" t="str">
        <f t="shared" si="59"/>
        <v/>
      </c>
      <c r="AA244" s="112" t="str">
        <f t="shared" si="60"/>
        <v/>
      </c>
      <c r="AB244" s="112" t="str">
        <f t="shared" si="61"/>
        <v/>
      </c>
      <c r="AC244" s="112" t="str">
        <f t="shared" si="62"/>
        <v/>
      </c>
      <c r="AD244" s="112" t="str">
        <f t="shared" si="63"/>
        <v/>
      </c>
    </row>
    <row r="245" spans="1:30" x14ac:dyDescent="0.2">
      <c r="A245" s="112" t="str">
        <f>IF(SUM(Q245:R245)=1,1+MAX($A$1:A244),"")</f>
        <v/>
      </c>
      <c r="B245" s="112" t="str">
        <f>IF(SUM(X245:Y245)=1,1+MAX($B$1:B244),"")</f>
        <v/>
      </c>
      <c r="C245" s="112" t="str">
        <f>IF(SUM(Q245:R245,X245:Y245)=2,1+MAX($C$1:C244),"")</f>
        <v/>
      </c>
      <c r="D245" s="113">
        <v>37411</v>
      </c>
      <c r="E245" s="112">
        <v>2002</v>
      </c>
      <c r="F245" s="112" t="s">
        <v>2672</v>
      </c>
      <c r="G245" s="112" t="s">
        <v>2673</v>
      </c>
      <c r="H245" s="114" t="s">
        <v>2544</v>
      </c>
      <c r="I245" s="112">
        <f t="shared" si="48"/>
        <v>0</v>
      </c>
      <c r="J245" s="112">
        <f t="shared" si="49"/>
        <v>2</v>
      </c>
      <c r="K245" s="115" t="s">
        <v>2543</v>
      </c>
      <c r="L245" s="115" t="s">
        <v>2844</v>
      </c>
      <c r="M245" s="115" t="s">
        <v>2752</v>
      </c>
      <c r="N245" s="115">
        <v>48760</v>
      </c>
      <c r="O245" s="112">
        <v>2</v>
      </c>
      <c r="P245" s="116" t="s">
        <v>2687</v>
      </c>
      <c r="Q245" s="112" t="str">
        <f t="shared" si="50"/>
        <v/>
      </c>
      <c r="R245" s="112" t="str">
        <f t="shared" si="51"/>
        <v/>
      </c>
      <c r="S245" s="112" t="str">
        <f t="shared" si="54"/>
        <v/>
      </c>
      <c r="T245" s="112" t="str">
        <f t="shared" si="55"/>
        <v/>
      </c>
      <c r="U245" s="112" t="str">
        <f t="shared" si="56"/>
        <v/>
      </c>
      <c r="V245" s="112" t="str">
        <f t="shared" si="57"/>
        <v/>
      </c>
      <c r="W245" s="112" t="str">
        <f t="shared" si="58"/>
        <v/>
      </c>
      <c r="X245" s="112" t="str">
        <f t="shared" si="52"/>
        <v/>
      </c>
      <c r="Y245" s="112" t="str">
        <f t="shared" si="53"/>
        <v/>
      </c>
      <c r="Z245" s="112" t="str">
        <f t="shared" si="59"/>
        <v/>
      </c>
      <c r="AA245" s="112" t="str">
        <f t="shared" si="60"/>
        <v/>
      </c>
      <c r="AB245" s="112" t="str">
        <f t="shared" si="61"/>
        <v/>
      </c>
      <c r="AC245" s="112" t="str">
        <f t="shared" si="62"/>
        <v/>
      </c>
      <c r="AD245" s="112" t="str">
        <f t="shared" si="63"/>
        <v/>
      </c>
    </row>
    <row r="246" spans="1:30" x14ac:dyDescent="0.2">
      <c r="A246" s="112" t="str">
        <f>IF(SUM(Q246:R246)=1,1+MAX($A$1:A245),"")</f>
        <v/>
      </c>
      <c r="B246" s="112" t="str">
        <f>IF(SUM(X246:Y246)=1,1+MAX($B$1:B245),"")</f>
        <v/>
      </c>
      <c r="C246" s="112" t="str">
        <f>IF(SUM(Q246:R246,X246:Y246)=2,1+MAX($C$1:C245),"")</f>
        <v/>
      </c>
      <c r="D246" s="113">
        <v>37411</v>
      </c>
      <c r="E246" s="112">
        <v>2002</v>
      </c>
      <c r="F246" s="112" t="s">
        <v>2677</v>
      </c>
      <c r="G246" s="112" t="s">
        <v>2678</v>
      </c>
      <c r="H246" s="114" t="s">
        <v>2728</v>
      </c>
      <c r="I246" s="112">
        <f t="shared" si="48"/>
        <v>0</v>
      </c>
      <c r="J246" s="112">
        <f t="shared" si="49"/>
        <v>2</v>
      </c>
      <c r="K246" s="115" t="s">
        <v>2550</v>
      </c>
      <c r="L246" s="115" t="s">
        <v>2807</v>
      </c>
      <c r="M246" s="115" t="s">
        <v>2845</v>
      </c>
      <c r="N246" s="115">
        <v>27217</v>
      </c>
      <c r="O246" s="112">
        <v>3</v>
      </c>
      <c r="P246" s="116" t="s">
        <v>2687</v>
      </c>
      <c r="Q246" s="112" t="str">
        <f t="shared" si="50"/>
        <v/>
      </c>
      <c r="R246" s="112" t="str">
        <f t="shared" si="51"/>
        <v/>
      </c>
      <c r="S246" s="112" t="str">
        <f t="shared" si="54"/>
        <v/>
      </c>
      <c r="T246" s="112" t="str">
        <f t="shared" si="55"/>
        <v/>
      </c>
      <c r="U246" s="112" t="str">
        <f t="shared" si="56"/>
        <v/>
      </c>
      <c r="V246" s="112" t="str">
        <f t="shared" si="57"/>
        <v/>
      </c>
      <c r="W246" s="112" t="str">
        <f t="shared" si="58"/>
        <v/>
      </c>
      <c r="X246" s="112" t="str">
        <f t="shared" si="52"/>
        <v/>
      </c>
      <c r="Y246" s="112" t="str">
        <f t="shared" si="53"/>
        <v/>
      </c>
      <c r="Z246" s="112" t="str">
        <f t="shared" si="59"/>
        <v/>
      </c>
      <c r="AA246" s="112" t="str">
        <f t="shared" si="60"/>
        <v/>
      </c>
      <c r="AB246" s="112" t="str">
        <f t="shared" si="61"/>
        <v/>
      </c>
      <c r="AC246" s="112" t="str">
        <f t="shared" si="62"/>
        <v/>
      </c>
      <c r="AD246" s="112" t="str">
        <f t="shared" si="63"/>
        <v/>
      </c>
    </row>
    <row r="247" spans="1:30" x14ac:dyDescent="0.2">
      <c r="A247" s="112" t="str">
        <f>IF(SUM(Q247:R247)=1,1+MAX($A$1:A246),"")</f>
        <v/>
      </c>
      <c r="B247" s="112" t="str">
        <f>IF(SUM(X247:Y247)=1,1+MAX($B$1:B246),"")</f>
        <v/>
      </c>
      <c r="C247" s="112" t="str">
        <f>IF(SUM(Q247:R247,X247:Y247)=2,1+MAX($C$1:C246),"")</f>
        <v/>
      </c>
      <c r="D247" s="113">
        <v>37410</v>
      </c>
      <c r="E247" s="112">
        <v>2002</v>
      </c>
      <c r="F247" s="112" t="s">
        <v>2656</v>
      </c>
      <c r="G247" s="112" t="s">
        <v>2657</v>
      </c>
      <c r="H247" s="114" t="s">
        <v>2655</v>
      </c>
      <c r="I247" s="112">
        <f t="shared" si="48"/>
        <v>0</v>
      </c>
      <c r="J247" s="112">
        <f t="shared" si="49"/>
        <v>2</v>
      </c>
      <c r="K247" s="115" t="s">
        <v>2674</v>
      </c>
      <c r="L247" s="115" t="s">
        <v>2841</v>
      </c>
      <c r="M247" s="115" t="s">
        <v>2832</v>
      </c>
      <c r="N247" s="115">
        <v>31081</v>
      </c>
      <c r="O247" s="112">
        <v>2</v>
      </c>
      <c r="P247" s="116" t="s">
        <v>2687</v>
      </c>
      <c r="Q247" s="112" t="str">
        <f t="shared" si="50"/>
        <v/>
      </c>
      <c r="R247" s="112" t="str">
        <f t="shared" si="51"/>
        <v/>
      </c>
      <c r="S247" s="112" t="str">
        <f t="shared" si="54"/>
        <v/>
      </c>
      <c r="T247" s="112" t="str">
        <f t="shared" si="55"/>
        <v/>
      </c>
      <c r="U247" s="112" t="str">
        <f t="shared" si="56"/>
        <v/>
      </c>
      <c r="V247" s="112" t="str">
        <f t="shared" si="57"/>
        <v/>
      </c>
      <c r="W247" s="112" t="str">
        <f t="shared" si="58"/>
        <v/>
      </c>
      <c r="X247" s="112" t="str">
        <f t="shared" si="52"/>
        <v/>
      </c>
      <c r="Y247" s="112" t="str">
        <f t="shared" si="53"/>
        <v/>
      </c>
      <c r="Z247" s="112" t="str">
        <f t="shared" si="59"/>
        <v/>
      </c>
      <c r="AA247" s="112" t="str">
        <f t="shared" si="60"/>
        <v/>
      </c>
      <c r="AB247" s="112" t="str">
        <f t="shared" si="61"/>
        <v/>
      </c>
      <c r="AC247" s="112" t="str">
        <f t="shared" si="62"/>
        <v/>
      </c>
      <c r="AD247" s="112" t="str">
        <f t="shared" si="63"/>
        <v/>
      </c>
    </row>
    <row r="248" spans="1:30" x14ac:dyDescent="0.2">
      <c r="A248" s="112" t="str">
        <f>IF(SUM(Q248:R248)=1,1+MAX($A$1:A247),"")</f>
        <v/>
      </c>
      <c r="B248" s="112" t="str">
        <f>IF(SUM(X248:Y248)=1,1+MAX($B$1:B247),"")</f>
        <v/>
      </c>
      <c r="C248" s="112" t="str">
        <f>IF(SUM(Q248:R248,X248:Y248)=2,1+MAX($C$1:C247),"")</f>
        <v/>
      </c>
      <c r="D248" s="113">
        <v>37410</v>
      </c>
      <c r="E248" s="112">
        <v>2002</v>
      </c>
      <c r="F248" s="112" t="s">
        <v>2656</v>
      </c>
      <c r="G248" s="112" t="s">
        <v>2657</v>
      </c>
      <c r="H248" s="114" t="s">
        <v>1024</v>
      </c>
      <c r="I248" s="112">
        <f t="shared" si="48"/>
        <v>0</v>
      </c>
      <c r="J248" s="112">
        <f t="shared" si="49"/>
        <v>1</v>
      </c>
      <c r="K248" s="115" t="s">
        <v>1061</v>
      </c>
      <c r="L248" s="115" t="s">
        <v>2825</v>
      </c>
      <c r="M248" s="115" t="s">
        <v>2828</v>
      </c>
      <c r="N248" s="115">
        <v>32239</v>
      </c>
      <c r="O248" s="112">
        <v>2</v>
      </c>
      <c r="P248" s="116" t="s">
        <v>2601</v>
      </c>
      <c r="Q248" s="112" t="str">
        <f t="shared" si="50"/>
        <v/>
      </c>
      <c r="R248" s="112" t="str">
        <f t="shared" si="51"/>
        <v/>
      </c>
      <c r="S248" s="112" t="str">
        <f t="shared" si="54"/>
        <v/>
      </c>
      <c r="T248" s="112" t="str">
        <f t="shared" si="55"/>
        <v/>
      </c>
      <c r="U248" s="112" t="str">
        <f t="shared" si="56"/>
        <v/>
      </c>
      <c r="V248" s="112" t="str">
        <f t="shared" si="57"/>
        <v/>
      </c>
      <c r="W248" s="112" t="str">
        <f t="shared" si="58"/>
        <v/>
      </c>
      <c r="X248" s="112" t="str">
        <f t="shared" si="52"/>
        <v/>
      </c>
      <c r="Y248" s="112" t="str">
        <f t="shared" si="53"/>
        <v/>
      </c>
      <c r="Z248" s="112" t="str">
        <f t="shared" si="59"/>
        <v/>
      </c>
      <c r="AA248" s="112" t="str">
        <f t="shared" si="60"/>
        <v/>
      </c>
      <c r="AB248" s="112" t="str">
        <f t="shared" si="61"/>
        <v/>
      </c>
      <c r="AC248" s="112" t="str">
        <f t="shared" si="62"/>
        <v/>
      </c>
      <c r="AD248" s="112" t="str">
        <f t="shared" si="63"/>
        <v/>
      </c>
    </row>
    <row r="249" spans="1:30" x14ac:dyDescent="0.2">
      <c r="A249" s="112" t="str">
        <f>IF(SUM(Q249:R249)=1,1+MAX($A$1:A248),"")</f>
        <v/>
      </c>
      <c r="B249" s="112" t="str">
        <f>IF(SUM(X249:Y249)=1,1+MAX($B$1:B248),"")</f>
        <v/>
      </c>
      <c r="C249" s="112" t="str">
        <f>IF(SUM(Q249:R249,X249:Y249)=2,1+MAX($C$1:C248),"")</f>
        <v/>
      </c>
      <c r="D249" s="113">
        <v>37410</v>
      </c>
      <c r="E249" s="112">
        <v>2002</v>
      </c>
      <c r="F249" s="112" t="s">
        <v>2677</v>
      </c>
      <c r="G249" s="112" t="s">
        <v>2678</v>
      </c>
      <c r="H249" s="114" t="s">
        <v>1442</v>
      </c>
      <c r="I249" s="112">
        <f t="shared" si="48"/>
        <v>2</v>
      </c>
      <c r="J249" s="112">
        <f t="shared" si="49"/>
        <v>1</v>
      </c>
      <c r="K249" s="115" t="s">
        <v>2799</v>
      </c>
      <c r="L249" s="115" t="s">
        <v>2809</v>
      </c>
      <c r="M249" s="115" t="s">
        <v>2846</v>
      </c>
      <c r="N249" s="115">
        <v>33842</v>
      </c>
      <c r="O249" s="112">
        <v>2</v>
      </c>
      <c r="P249" s="116" t="s">
        <v>2626</v>
      </c>
      <c r="Q249" s="112" t="str">
        <f t="shared" si="50"/>
        <v/>
      </c>
      <c r="R249" s="112" t="str">
        <f t="shared" si="51"/>
        <v/>
      </c>
      <c r="S249" s="112" t="str">
        <f t="shared" si="54"/>
        <v/>
      </c>
      <c r="T249" s="112" t="str">
        <f t="shared" si="55"/>
        <v/>
      </c>
      <c r="U249" s="112" t="str">
        <f t="shared" si="56"/>
        <v/>
      </c>
      <c r="V249" s="112" t="str">
        <f t="shared" si="57"/>
        <v/>
      </c>
      <c r="W249" s="112" t="str">
        <f t="shared" si="58"/>
        <v/>
      </c>
      <c r="X249" s="112" t="str">
        <f t="shared" si="52"/>
        <v/>
      </c>
      <c r="Y249" s="112" t="str">
        <f t="shared" si="53"/>
        <v/>
      </c>
      <c r="Z249" s="112" t="str">
        <f t="shared" si="59"/>
        <v/>
      </c>
      <c r="AA249" s="112" t="str">
        <f t="shared" si="60"/>
        <v/>
      </c>
      <c r="AB249" s="112" t="str">
        <f t="shared" si="61"/>
        <v/>
      </c>
      <c r="AC249" s="112" t="str">
        <f t="shared" si="62"/>
        <v/>
      </c>
      <c r="AD249" s="112" t="str">
        <f t="shared" si="63"/>
        <v/>
      </c>
    </row>
    <row r="250" spans="1:30" x14ac:dyDescent="0.2">
      <c r="A250" s="112">
        <f>IF(SUM(Q250:R250)=1,1+MAX($A$1:A249),"")</f>
        <v>17</v>
      </c>
      <c r="B250" s="112" t="str">
        <f>IF(SUM(X250:Y250)=1,1+MAX($B$1:B249),"")</f>
        <v/>
      </c>
      <c r="C250" s="112" t="str">
        <f>IF(SUM(Q250:R250,X250:Y250)=2,1+MAX($C$1:C249),"")</f>
        <v/>
      </c>
      <c r="D250" s="113">
        <v>37409</v>
      </c>
      <c r="E250" s="112">
        <v>2002</v>
      </c>
      <c r="F250" s="112" t="s">
        <v>2661</v>
      </c>
      <c r="G250" s="112" t="s">
        <v>2662</v>
      </c>
      <c r="H250" s="114" t="s">
        <v>2545</v>
      </c>
      <c r="I250" s="112">
        <f t="shared" si="48"/>
        <v>1</v>
      </c>
      <c r="J250" s="112">
        <f t="shared" si="49"/>
        <v>1</v>
      </c>
      <c r="K250" s="115" t="s">
        <v>2549</v>
      </c>
      <c r="L250" s="115" t="s">
        <v>2802</v>
      </c>
      <c r="M250" s="115" t="s">
        <v>2751</v>
      </c>
      <c r="N250" s="115">
        <v>52721</v>
      </c>
      <c r="O250" s="112">
        <v>2</v>
      </c>
      <c r="P250" s="116" t="s">
        <v>2645</v>
      </c>
      <c r="Q250" s="112">
        <f t="shared" si="50"/>
        <v>1</v>
      </c>
      <c r="R250" s="112" t="str">
        <f t="shared" si="51"/>
        <v/>
      </c>
      <c r="S250" s="112">
        <f t="shared" si="54"/>
        <v>0</v>
      </c>
      <c r="T250" s="112">
        <f t="shared" si="55"/>
        <v>1</v>
      </c>
      <c r="U250" s="112">
        <f t="shared" si="56"/>
        <v>0</v>
      </c>
      <c r="V250" s="112">
        <f t="shared" si="57"/>
        <v>2</v>
      </c>
      <c r="W250" s="112">
        <f t="shared" si="58"/>
        <v>0</v>
      </c>
      <c r="X250" s="112" t="str">
        <f t="shared" si="52"/>
        <v/>
      </c>
      <c r="Y250" s="112" t="str">
        <f t="shared" si="53"/>
        <v/>
      </c>
      <c r="Z250" s="112" t="str">
        <f t="shared" si="59"/>
        <v/>
      </c>
      <c r="AA250" s="112" t="str">
        <f t="shared" si="60"/>
        <v/>
      </c>
      <c r="AB250" s="112" t="str">
        <f t="shared" si="61"/>
        <v/>
      </c>
      <c r="AC250" s="112" t="str">
        <f t="shared" si="62"/>
        <v/>
      </c>
      <c r="AD250" s="112" t="str">
        <f t="shared" si="63"/>
        <v/>
      </c>
    </row>
    <row r="251" spans="1:30" x14ac:dyDescent="0.2">
      <c r="A251" s="112" t="str">
        <f>IF(SUM(Q251:R251)=1,1+MAX($A$1:A250),"")</f>
        <v/>
      </c>
      <c r="B251" s="112">
        <f>IF(SUM(X251:Y251)=1,1+MAX($B$1:B250),"")</f>
        <v>20</v>
      </c>
      <c r="C251" s="112" t="str">
        <f>IF(SUM(Q251:R251,X251:Y251)=2,1+MAX($C$1:C250),"")</f>
        <v/>
      </c>
      <c r="D251" s="113">
        <v>37409</v>
      </c>
      <c r="E251" s="112">
        <v>2002</v>
      </c>
      <c r="F251" s="112" t="s">
        <v>2661</v>
      </c>
      <c r="G251" s="112" t="s">
        <v>2662</v>
      </c>
      <c r="H251" s="114" t="s">
        <v>1134</v>
      </c>
      <c r="I251" s="112">
        <f t="shared" si="48"/>
        <v>1</v>
      </c>
      <c r="J251" s="112">
        <f t="shared" si="49"/>
        <v>0</v>
      </c>
      <c r="K251" s="115" t="s">
        <v>2542</v>
      </c>
      <c r="L251" s="115" t="s">
        <v>2840</v>
      </c>
      <c r="M251" s="115" t="s">
        <v>2827</v>
      </c>
      <c r="N251" s="115">
        <v>34050</v>
      </c>
      <c r="O251" s="112">
        <v>2</v>
      </c>
      <c r="P251" s="116" t="s">
        <v>2622</v>
      </c>
      <c r="Q251" s="112" t="str">
        <f t="shared" si="50"/>
        <v/>
      </c>
      <c r="R251" s="112" t="str">
        <f t="shared" si="51"/>
        <v/>
      </c>
      <c r="S251" s="112" t="str">
        <f t="shared" si="54"/>
        <v/>
      </c>
      <c r="T251" s="112" t="str">
        <f t="shared" si="55"/>
        <v/>
      </c>
      <c r="U251" s="112" t="str">
        <f t="shared" si="56"/>
        <v/>
      </c>
      <c r="V251" s="112" t="str">
        <f t="shared" si="57"/>
        <v/>
      </c>
      <c r="W251" s="112" t="str">
        <f t="shared" si="58"/>
        <v/>
      </c>
      <c r="X251" s="112">
        <f t="shared" si="52"/>
        <v>1</v>
      </c>
      <c r="Y251" s="112" t="str">
        <f t="shared" si="53"/>
        <v/>
      </c>
      <c r="Z251" s="112">
        <f t="shared" si="59"/>
        <v>1</v>
      </c>
      <c r="AA251" s="112">
        <f t="shared" si="60"/>
        <v>0</v>
      </c>
      <c r="AB251" s="112">
        <f t="shared" si="61"/>
        <v>0</v>
      </c>
      <c r="AC251" s="112">
        <f t="shared" si="62"/>
        <v>1</v>
      </c>
      <c r="AD251" s="112">
        <f t="shared" si="63"/>
        <v>1</v>
      </c>
    </row>
    <row r="252" spans="1:30" x14ac:dyDescent="0.2">
      <c r="A252" s="112" t="str">
        <f>IF(SUM(Q252:R252)=1,1+MAX($A$1:A251),"")</f>
        <v/>
      </c>
      <c r="B252" s="112" t="str">
        <f>IF(SUM(X252:Y252)=1,1+MAX($B$1:B251),"")</f>
        <v/>
      </c>
      <c r="C252" s="112" t="str">
        <f>IF(SUM(Q252:R252,X252:Y252)=2,1+MAX($C$1:C251),"")</f>
        <v/>
      </c>
      <c r="D252" s="113">
        <v>37409</v>
      </c>
      <c r="E252" s="112">
        <v>2002</v>
      </c>
      <c r="F252" s="112" t="s">
        <v>2684</v>
      </c>
      <c r="G252" s="112" t="s">
        <v>2685</v>
      </c>
      <c r="H252" s="114" t="s">
        <v>2718</v>
      </c>
      <c r="I252" s="112">
        <f t="shared" si="48"/>
        <v>1</v>
      </c>
      <c r="J252" s="112">
        <f t="shared" si="49"/>
        <v>3</v>
      </c>
      <c r="K252" s="115" t="s">
        <v>2557</v>
      </c>
      <c r="L252" s="115" t="s">
        <v>2807</v>
      </c>
      <c r="M252" s="115" t="s">
        <v>2847</v>
      </c>
      <c r="N252" s="115">
        <v>28598</v>
      </c>
      <c r="O252" s="112">
        <v>2</v>
      </c>
      <c r="P252" s="116" t="s">
        <v>2691</v>
      </c>
      <c r="Q252" s="112" t="str">
        <f t="shared" si="50"/>
        <v/>
      </c>
      <c r="R252" s="112" t="str">
        <f t="shared" si="51"/>
        <v/>
      </c>
      <c r="S252" s="112" t="str">
        <f t="shared" si="54"/>
        <v/>
      </c>
      <c r="T252" s="112" t="str">
        <f t="shared" si="55"/>
        <v/>
      </c>
      <c r="U252" s="112" t="str">
        <f t="shared" si="56"/>
        <v/>
      </c>
      <c r="V252" s="112" t="str">
        <f t="shared" si="57"/>
        <v/>
      </c>
      <c r="W252" s="112" t="str">
        <f t="shared" si="58"/>
        <v/>
      </c>
      <c r="X252" s="112" t="str">
        <f t="shared" si="52"/>
        <v/>
      </c>
      <c r="Y252" s="112" t="str">
        <f t="shared" si="53"/>
        <v/>
      </c>
      <c r="Z252" s="112" t="str">
        <f t="shared" si="59"/>
        <v/>
      </c>
      <c r="AA252" s="112" t="str">
        <f t="shared" si="60"/>
        <v/>
      </c>
      <c r="AB252" s="112" t="str">
        <f t="shared" si="61"/>
        <v/>
      </c>
      <c r="AC252" s="112" t="str">
        <f t="shared" si="62"/>
        <v/>
      </c>
      <c r="AD252" s="112" t="str">
        <f t="shared" si="63"/>
        <v/>
      </c>
    </row>
    <row r="253" spans="1:30" x14ac:dyDescent="0.2">
      <c r="A253" s="112" t="str">
        <f>IF(SUM(Q253:R253)=1,1+MAX($A$1:A252),"")</f>
        <v/>
      </c>
      <c r="B253" s="112" t="str">
        <f>IF(SUM(X253:Y253)=1,1+MAX($B$1:B252),"")</f>
        <v/>
      </c>
      <c r="C253" s="112" t="str">
        <f>IF(SUM(Q253:R253,X253:Y253)=2,1+MAX($C$1:C252),"")</f>
        <v/>
      </c>
      <c r="D253" s="113">
        <v>37409</v>
      </c>
      <c r="E253" s="112">
        <v>2002</v>
      </c>
      <c r="F253" s="112" t="s">
        <v>2684</v>
      </c>
      <c r="G253" s="112" t="s">
        <v>2685</v>
      </c>
      <c r="H253" s="114" t="s">
        <v>2709</v>
      </c>
      <c r="I253" s="112">
        <f t="shared" si="48"/>
        <v>2</v>
      </c>
      <c r="J253" s="112">
        <f t="shared" si="49"/>
        <v>2</v>
      </c>
      <c r="K253" s="115" t="s">
        <v>2692</v>
      </c>
      <c r="L253" s="115" t="s">
        <v>2844</v>
      </c>
      <c r="M253" s="115" t="s">
        <v>2775</v>
      </c>
      <c r="N253" s="115">
        <v>25186</v>
      </c>
      <c r="O253" s="112">
        <v>3</v>
      </c>
      <c r="P253" s="116" t="s">
        <v>2697</v>
      </c>
      <c r="Q253" s="112" t="str">
        <f t="shared" si="50"/>
        <v/>
      </c>
      <c r="R253" s="112" t="str">
        <f t="shared" si="51"/>
        <v/>
      </c>
      <c r="S253" s="112" t="str">
        <f t="shared" si="54"/>
        <v/>
      </c>
      <c r="T253" s="112" t="str">
        <f t="shared" si="55"/>
        <v/>
      </c>
      <c r="U253" s="112" t="str">
        <f t="shared" si="56"/>
        <v/>
      </c>
      <c r="V253" s="112" t="str">
        <f t="shared" si="57"/>
        <v/>
      </c>
      <c r="W253" s="112" t="str">
        <f t="shared" si="58"/>
        <v/>
      </c>
      <c r="X253" s="112" t="str">
        <f t="shared" si="52"/>
        <v/>
      </c>
      <c r="Y253" s="112" t="str">
        <f t="shared" si="53"/>
        <v/>
      </c>
      <c r="Z253" s="112" t="str">
        <f t="shared" si="59"/>
        <v/>
      </c>
      <c r="AA253" s="112" t="str">
        <f t="shared" si="60"/>
        <v/>
      </c>
      <c r="AB253" s="112" t="str">
        <f t="shared" si="61"/>
        <v/>
      </c>
      <c r="AC253" s="112" t="str">
        <f t="shared" si="62"/>
        <v/>
      </c>
      <c r="AD253" s="112" t="str">
        <f t="shared" si="63"/>
        <v/>
      </c>
    </row>
    <row r="254" spans="1:30" x14ac:dyDescent="0.2">
      <c r="A254" s="112" t="str">
        <f>IF(SUM(Q254:R254)=1,1+MAX($A$1:A253),"")</f>
        <v/>
      </c>
      <c r="B254" s="112" t="str">
        <f>IF(SUM(X254:Y254)=1,1+MAX($B$1:B253),"")</f>
        <v/>
      </c>
      <c r="C254" s="112" t="str">
        <f>IF(SUM(Q254:R254,X254:Y254)=2,1+MAX($C$1:C253),"")</f>
        <v/>
      </c>
      <c r="D254" s="113">
        <v>37408</v>
      </c>
      <c r="E254" s="112">
        <v>2002</v>
      </c>
      <c r="F254" s="112" t="s">
        <v>2666</v>
      </c>
      <c r="G254" s="112" t="s">
        <v>2667</v>
      </c>
      <c r="H254" s="114" t="s">
        <v>2547</v>
      </c>
      <c r="I254" s="112">
        <f t="shared" si="48"/>
        <v>8</v>
      </c>
      <c r="J254" s="112">
        <f t="shared" si="49"/>
        <v>0</v>
      </c>
      <c r="K254" s="115" t="s">
        <v>2559</v>
      </c>
      <c r="L254" s="115" t="s">
        <v>2841</v>
      </c>
      <c r="M254" s="115" t="s">
        <v>2824</v>
      </c>
      <c r="N254" s="115">
        <v>32218</v>
      </c>
      <c r="O254" s="112">
        <v>2</v>
      </c>
      <c r="P254" s="116" t="s">
        <v>2848</v>
      </c>
      <c r="Q254" s="112" t="str">
        <f t="shared" si="50"/>
        <v/>
      </c>
      <c r="R254" s="112" t="str">
        <f t="shared" si="51"/>
        <v/>
      </c>
      <c r="S254" s="112" t="str">
        <f t="shared" si="54"/>
        <v/>
      </c>
      <c r="T254" s="112" t="str">
        <f t="shared" si="55"/>
        <v/>
      </c>
      <c r="U254" s="112" t="str">
        <f t="shared" si="56"/>
        <v/>
      </c>
      <c r="V254" s="112" t="str">
        <f t="shared" si="57"/>
        <v/>
      </c>
      <c r="W254" s="112" t="str">
        <f t="shared" si="58"/>
        <v/>
      </c>
      <c r="X254" s="112" t="str">
        <f t="shared" si="52"/>
        <v/>
      </c>
      <c r="Y254" s="112" t="str">
        <f t="shared" si="53"/>
        <v/>
      </c>
      <c r="Z254" s="112" t="str">
        <f t="shared" si="59"/>
        <v/>
      </c>
      <c r="AA254" s="112" t="str">
        <f t="shared" si="60"/>
        <v/>
      </c>
      <c r="AB254" s="112" t="str">
        <f t="shared" si="61"/>
        <v/>
      </c>
      <c r="AC254" s="112" t="str">
        <f t="shared" si="62"/>
        <v/>
      </c>
      <c r="AD254" s="112" t="str">
        <f t="shared" si="63"/>
        <v/>
      </c>
    </row>
    <row r="255" spans="1:30" x14ac:dyDescent="0.2">
      <c r="A255" s="112" t="str">
        <f>IF(SUM(Q255:R255)=1,1+MAX($A$1:A254),"")</f>
        <v/>
      </c>
      <c r="B255" s="112" t="str">
        <f>IF(SUM(X255:Y255)=1,1+MAX($B$1:B254),"")</f>
        <v/>
      </c>
      <c r="C255" s="112" t="str">
        <f>IF(SUM(Q255:R255,X255:Y255)=2,1+MAX($C$1:C254),"")</f>
        <v/>
      </c>
      <c r="D255" s="113">
        <v>37408</v>
      </c>
      <c r="E255" s="112">
        <v>2002</v>
      </c>
      <c r="F255" s="112" t="s">
        <v>2666</v>
      </c>
      <c r="G255" s="112" t="s">
        <v>2667</v>
      </c>
      <c r="H255" s="114" t="s">
        <v>2693</v>
      </c>
      <c r="I255" s="112">
        <f t="shared" si="48"/>
        <v>1</v>
      </c>
      <c r="J255" s="112">
        <f t="shared" si="49"/>
        <v>1</v>
      </c>
      <c r="K255" s="115" t="s">
        <v>2676</v>
      </c>
      <c r="L255" s="115" t="s">
        <v>2825</v>
      </c>
      <c r="M255" s="115" t="s">
        <v>2766</v>
      </c>
      <c r="N255" s="115">
        <v>33679</v>
      </c>
      <c r="O255" s="112">
        <v>2</v>
      </c>
      <c r="P255" s="116" t="s">
        <v>2645</v>
      </c>
      <c r="Q255" s="112" t="str">
        <f t="shared" si="50"/>
        <v/>
      </c>
      <c r="R255" s="112" t="str">
        <f t="shared" si="51"/>
        <v/>
      </c>
      <c r="S255" s="112" t="str">
        <f t="shared" si="54"/>
        <v/>
      </c>
      <c r="T255" s="112" t="str">
        <f t="shared" si="55"/>
        <v/>
      </c>
      <c r="U255" s="112" t="str">
        <f t="shared" si="56"/>
        <v/>
      </c>
      <c r="V255" s="112" t="str">
        <f t="shared" si="57"/>
        <v/>
      </c>
      <c r="W255" s="112" t="str">
        <f t="shared" si="58"/>
        <v/>
      </c>
      <c r="X255" s="112" t="str">
        <f t="shared" si="52"/>
        <v/>
      </c>
      <c r="Y255" s="112" t="str">
        <f t="shared" si="53"/>
        <v/>
      </c>
      <c r="Z255" s="112" t="str">
        <f t="shared" si="59"/>
        <v/>
      </c>
      <c r="AA255" s="112" t="str">
        <f t="shared" si="60"/>
        <v/>
      </c>
      <c r="AB255" s="112" t="str">
        <f t="shared" si="61"/>
        <v/>
      </c>
      <c r="AC255" s="112" t="str">
        <f t="shared" si="62"/>
        <v/>
      </c>
      <c r="AD255" s="112" t="str">
        <f t="shared" si="63"/>
        <v/>
      </c>
    </row>
    <row r="256" spans="1:30" x14ac:dyDescent="0.2">
      <c r="A256" s="112" t="str">
        <f>IF(SUM(Q256:R256)=1,1+MAX($A$1:A255),"")</f>
        <v/>
      </c>
      <c r="B256" s="112" t="str">
        <f>IF(SUM(X256:Y256)=1,1+MAX($B$1:B255),"")</f>
        <v/>
      </c>
      <c r="C256" s="112" t="str">
        <f>IF(SUM(Q256:R256,X256:Y256)=2,1+MAX($C$1:C255),"")</f>
        <v/>
      </c>
      <c r="D256" s="113">
        <v>37408</v>
      </c>
      <c r="E256" s="112">
        <v>2002</v>
      </c>
      <c r="F256" s="112" t="s">
        <v>2689</v>
      </c>
      <c r="G256" s="112" t="s">
        <v>2690</v>
      </c>
      <c r="H256" s="114" t="s">
        <v>2548</v>
      </c>
      <c r="I256" s="112">
        <f t="shared" si="48"/>
        <v>2</v>
      </c>
      <c r="J256" s="112">
        <f t="shared" si="49"/>
        <v>1</v>
      </c>
      <c r="K256" s="115" t="s">
        <v>2540</v>
      </c>
      <c r="L256" s="115" t="s">
        <v>2809</v>
      </c>
      <c r="M256" s="115" t="s">
        <v>2801</v>
      </c>
      <c r="N256" s="115">
        <v>30157</v>
      </c>
      <c r="O256" s="112">
        <v>3</v>
      </c>
      <c r="P256" s="116" t="s">
        <v>2626</v>
      </c>
      <c r="Q256" s="112" t="str">
        <f t="shared" si="50"/>
        <v/>
      </c>
      <c r="R256" s="112" t="str">
        <f t="shared" si="51"/>
        <v/>
      </c>
      <c r="S256" s="112" t="str">
        <f t="shared" si="54"/>
        <v/>
      </c>
      <c r="T256" s="112" t="str">
        <f t="shared" si="55"/>
        <v/>
      </c>
      <c r="U256" s="112" t="str">
        <f t="shared" si="56"/>
        <v/>
      </c>
      <c r="V256" s="112" t="str">
        <f t="shared" si="57"/>
        <v/>
      </c>
      <c r="W256" s="112" t="str">
        <f t="shared" si="58"/>
        <v/>
      </c>
      <c r="X256" s="112" t="str">
        <f t="shared" si="52"/>
        <v/>
      </c>
      <c r="Y256" s="112" t="str">
        <f t="shared" si="53"/>
        <v/>
      </c>
      <c r="Z256" s="112" t="str">
        <f t="shared" si="59"/>
        <v/>
      </c>
      <c r="AA256" s="112" t="str">
        <f t="shared" si="60"/>
        <v/>
      </c>
      <c r="AB256" s="112" t="str">
        <f t="shared" si="61"/>
        <v/>
      </c>
      <c r="AC256" s="112" t="str">
        <f t="shared" si="62"/>
        <v/>
      </c>
      <c r="AD256" s="112" t="str">
        <f t="shared" si="63"/>
        <v/>
      </c>
    </row>
    <row r="257" spans="1:30" x14ac:dyDescent="0.2">
      <c r="A257" s="112" t="str">
        <f>IF(SUM(Q257:R257)=1,1+MAX($A$1:A256),"")</f>
        <v/>
      </c>
      <c r="B257" s="112" t="str">
        <f>IF(SUM(X257:Y257)=1,1+MAX($B$1:B256),"")</f>
        <v/>
      </c>
      <c r="C257" s="112" t="str">
        <f>IF(SUM(Q257:R257,X257:Y257)=2,1+MAX($C$1:C256),"")</f>
        <v/>
      </c>
      <c r="D257" s="113">
        <v>37407</v>
      </c>
      <c r="E257" s="112">
        <v>2002</v>
      </c>
      <c r="F257" s="112" t="s">
        <v>2689</v>
      </c>
      <c r="G257" s="112" t="s">
        <v>2690</v>
      </c>
      <c r="H257" s="114" t="s">
        <v>2541</v>
      </c>
      <c r="I257" s="112">
        <f t="shared" si="48"/>
        <v>0</v>
      </c>
      <c r="J257" s="112">
        <f t="shared" si="49"/>
        <v>1</v>
      </c>
      <c r="K257" s="115" t="s">
        <v>2142</v>
      </c>
      <c r="L257" s="115" t="s">
        <v>2804</v>
      </c>
      <c r="M257" s="115" t="s">
        <v>2833</v>
      </c>
      <c r="N257" s="115">
        <v>62561</v>
      </c>
      <c r="O257" s="112">
        <v>2</v>
      </c>
      <c r="P257" s="116" t="s">
        <v>2601</v>
      </c>
      <c r="Q257" s="112" t="str">
        <f t="shared" si="50"/>
        <v/>
      </c>
      <c r="R257" s="112" t="str">
        <f t="shared" si="51"/>
        <v/>
      </c>
      <c r="S257" s="112" t="str">
        <f t="shared" si="54"/>
        <v/>
      </c>
      <c r="T257" s="112" t="str">
        <f t="shared" si="55"/>
        <v/>
      </c>
      <c r="U257" s="112" t="str">
        <f t="shared" si="56"/>
        <v/>
      </c>
      <c r="V257" s="112" t="str">
        <f t="shared" si="57"/>
        <v/>
      </c>
      <c r="W257" s="112" t="str">
        <f t="shared" si="58"/>
        <v/>
      </c>
      <c r="X257" s="112" t="str">
        <f t="shared" si="52"/>
        <v/>
      </c>
      <c r="Y257" s="112" t="str">
        <f t="shared" si="53"/>
        <v/>
      </c>
      <c r="Z257" s="112" t="str">
        <f t="shared" si="59"/>
        <v/>
      </c>
      <c r="AA257" s="112" t="str">
        <f t="shared" si="60"/>
        <v/>
      </c>
      <c r="AB257" s="112" t="str">
        <f t="shared" si="61"/>
        <v/>
      </c>
      <c r="AC257" s="112" t="str">
        <f t="shared" si="62"/>
        <v/>
      </c>
      <c r="AD257" s="112" t="str">
        <f t="shared" si="63"/>
        <v/>
      </c>
    </row>
    <row r="258" spans="1:30" x14ac:dyDescent="0.2">
      <c r="A258" s="112" t="str">
        <f>IF(SUM(Q258:R258)=1,1+MAX($A$1:A257),"")</f>
        <v/>
      </c>
      <c r="B258" s="112" t="str">
        <f>IF(SUM(X258:Y258)=1,1+MAX($B$1:B257),"")</f>
        <v/>
      </c>
      <c r="C258" s="112" t="str">
        <f>IF(SUM(Q258:R258,X258:Y258)=2,1+MAX($C$1:C257),"")</f>
        <v/>
      </c>
      <c r="D258" s="113">
        <v>35988</v>
      </c>
      <c r="E258" s="112">
        <v>1998</v>
      </c>
      <c r="F258" s="112" t="s">
        <v>2597</v>
      </c>
      <c r="H258" s="114" t="s">
        <v>1442</v>
      </c>
      <c r="I258" s="112">
        <f t="shared" ref="I258:I321" si="64">INT(LEFT(P258,FIND("-",P258)-1))</f>
        <v>0</v>
      </c>
      <c r="J258" s="112">
        <f t="shared" ref="J258:J321" si="65">INT(RIGHT(P258,LEN(P258)-FIND("-",P258)-1))</f>
        <v>3</v>
      </c>
      <c r="K258" s="115" t="s">
        <v>2541</v>
      </c>
      <c r="L258" s="115" t="s">
        <v>2849</v>
      </c>
      <c r="M258" s="115" t="s">
        <v>2850</v>
      </c>
      <c r="N258" s="115">
        <v>80000</v>
      </c>
      <c r="O258" s="112">
        <v>2</v>
      </c>
      <c r="P258" s="116" t="s">
        <v>2607</v>
      </c>
      <c r="Q258" s="112" t="str">
        <f t="shared" ref="Q258:Q321" si="66">IF(H258=team1,1,"")</f>
        <v/>
      </c>
      <c r="R258" s="112" t="str">
        <f t="shared" ref="R258:R321" si="67">IF(K258=team1,1,"")</f>
        <v/>
      </c>
      <c r="S258" s="112" t="str">
        <f t="shared" si="54"/>
        <v/>
      </c>
      <c r="T258" s="112" t="str">
        <f t="shared" si="55"/>
        <v/>
      </c>
      <c r="U258" s="112" t="str">
        <f t="shared" si="56"/>
        <v/>
      </c>
      <c r="V258" s="112" t="str">
        <f t="shared" si="57"/>
        <v/>
      </c>
      <c r="W258" s="112" t="str">
        <f t="shared" si="58"/>
        <v/>
      </c>
      <c r="X258" s="112" t="str">
        <f t="shared" ref="X258:X321" si="68">IF(H258=team2,1,"")</f>
        <v/>
      </c>
      <c r="Y258" s="112" t="str">
        <f t="shared" ref="Y258:Y321" si="69">IF(K258=team2,1,"")</f>
        <v/>
      </c>
      <c r="Z258" s="112" t="str">
        <f t="shared" si="59"/>
        <v/>
      </c>
      <c r="AA258" s="112" t="str">
        <f t="shared" si="60"/>
        <v/>
      </c>
      <c r="AB258" s="112" t="str">
        <f t="shared" si="61"/>
        <v/>
      </c>
      <c r="AC258" s="112" t="str">
        <f t="shared" si="62"/>
        <v/>
      </c>
      <c r="AD258" s="112" t="str">
        <f t="shared" si="63"/>
        <v/>
      </c>
    </row>
    <row r="259" spans="1:30" x14ac:dyDescent="0.2">
      <c r="A259" s="112" t="str">
        <f>IF(SUM(Q259:R259)=1,1+MAX($A$1:A258),"")</f>
        <v/>
      </c>
      <c r="B259" s="112" t="str">
        <f>IF(SUM(X259:Y259)=1,1+MAX($B$1:B258),"")</f>
        <v/>
      </c>
      <c r="C259" s="112" t="str">
        <f>IF(SUM(Q259:R259,X259:Y259)=2,1+MAX($C$1:C258),"")</f>
        <v/>
      </c>
      <c r="D259" s="113">
        <v>35987</v>
      </c>
      <c r="E259" s="112">
        <v>1998</v>
      </c>
      <c r="F259" s="112" t="s">
        <v>2602</v>
      </c>
      <c r="H259" s="114" t="s">
        <v>1024</v>
      </c>
      <c r="I259" s="112">
        <f t="shared" si="64"/>
        <v>2</v>
      </c>
      <c r="J259" s="112">
        <f t="shared" si="65"/>
        <v>1</v>
      </c>
      <c r="K259" s="115" t="s">
        <v>2604</v>
      </c>
      <c r="L259" s="115" t="s">
        <v>2851</v>
      </c>
      <c r="M259" s="115" t="s">
        <v>2852</v>
      </c>
      <c r="N259" s="115">
        <v>45500</v>
      </c>
      <c r="O259" s="112">
        <v>2</v>
      </c>
      <c r="P259" s="116" t="s">
        <v>2626</v>
      </c>
      <c r="Q259" s="112" t="str">
        <f t="shared" si="66"/>
        <v/>
      </c>
      <c r="R259" s="112" t="str">
        <f t="shared" si="67"/>
        <v/>
      </c>
      <c r="S259" s="112" t="str">
        <f t="shared" ref="S259:S322" si="70">IF(Q259=1,IF($I259&gt;$J259,1,0),IF(R259=1,IF($I259&lt;$J259,1,0),""))</f>
        <v/>
      </c>
      <c r="T259" s="112" t="str">
        <f t="shared" ref="T259:T322" si="71">IF(Q259=1,IF($I259=$J259,1,0),IF(R259=1,IF($I259=$J259,1,0),""))</f>
        <v/>
      </c>
      <c r="U259" s="112" t="str">
        <f t="shared" ref="U259:U322" si="72">IF(Q259=1,IF($I259&lt;$J259,1,0),IF(R259=1,IF($I259&gt;$J259,1,0),""))</f>
        <v/>
      </c>
      <c r="V259" s="112" t="str">
        <f t="shared" ref="V259:V322" si="73">IF(SUM(Q259:R259)=1,$I259+$J259,"")</f>
        <v/>
      </c>
      <c r="W259" s="112" t="str">
        <f t="shared" ref="W259:W322" si="74">IF(Q259=1,$I259-$J259,IF(R259=1,-($I259-$J259),""))</f>
        <v/>
      </c>
      <c r="X259" s="112" t="str">
        <f t="shared" si="68"/>
        <v/>
      </c>
      <c r="Y259" s="112" t="str">
        <f t="shared" si="69"/>
        <v/>
      </c>
      <c r="Z259" s="112" t="str">
        <f t="shared" ref="Z259:Z322" si="75">IF(X259=1,IF($I259&gt;$J259,1,0),IF(Y259=1,IF($I259&lt;$J259,1,0),""))</f>
        <v/>
      </c>
      <c r="AA259" s="112" t="str">
        <f t="shared" ref="AA259:AA322" si="76">IF(X259=1,IF($I259=$J259,1,0),IF(Y259=1,IF($I259=$J259,1,0),""))</f>
        <v/>
      </c>
      <c r="AB259" s="112" t="str">
        <f t="shared" ref="AB259:AB322" si="77">IF(X259=1,IF($I259&lt;$J259,1,0),IF(Y259=1,IF($I259&gt;$J259,1,0),""))</f>
        <v/>
      </c>
      <c r="AC259" s="112" t="str">
        <f t="shared" ref="AC259:AC322" si="78">IF(SUM(X259:Y259)=1,$I259+$J259,"")</f>
        <v/>
      </c>
      <c r="AD259" s="112" t="str">
        <f t="shared" ref="AD259:AD322" si="79">IF(X259=1,$I259-$J259,IF(Y259=1,-($I259-$J259),""))</f>
        <v/>
      </c>
    </row>
    <row r="260" spans="1:30" x14ac:dyDescent="0.2">
      <c r="A260" s="112" t="str">
        <f>IF(SUM(Q260:R260)=1,1+MAX($A$1:A259),"")</f>
        <v/>
      </c>
      <c r="B260" s="112" t="str">
        <f>IF(SUM(X260:Y260)=1,1+MAX($B$1:B259),"")</f>
        <v/>
      </c>
      <c r="C260" s="112" t="str">
        <f>IF(SUM(Q260:R260,X260:Y260)=2,1+MAX($C$1:C259),"")</f>
        <v/>
      </c>
      <c r="D260" s="113">
        <v>35984</v>
      </c>
      <c r="E260" s="112">
        <v>1998</v>
      </c>
      <c r="F260" s="112" t="s">
        <v>2609</v>
      </c>
      <c r="H260" s="114" t="s">
        <v>1024</v>
      </c>
      <c r="I260" s="112">
        <f t="shared" si="64"/>
        <v>1</v>
      </c>
      <c r="J260" s="112">
        <f t="shared" si="65"/>
        <v>2</v>
      </c>
      <c r="K260" s="115" t="s">
        <v>2541</v>
      </c>
      <c r="L260" s="115" t="s">
        <v>2849</v>
      </c>
      <c r="M260" s="115" t="s">
        <v>2853</v>
      </c>
      <c r="N260" s="115">
        <v>76000</v>
      </c>
      <c r="O260" s="112">
        <v>2</v>
      </c>
      <c r="P260" s="116" t="s">
        <v>2638</v>
      </c>
      <c r="Q260" s="112" t="str">
        <f t="shared" si="66"/>
        <v/>
      </c>
      <c r="R260" s="112" t="str">
        <f t="shared" si="67"/>
        <v/>
      </c>
      <c r="S260" s="112" t="str">
        <f t="shared" si="70"/>
        <v/>
      </c>
      <c r="T260" s="112" t="str">
        <f t="shared" si="71"/>
        <v/>
      </c>
      <c r="U260" s="112" t="str">
        <f t="shared" si="72"/>
        <v/>
      </c>
      <c r="V260" s="112" t="str">
        <f t="shared" si="73"/>
        <v/>
      </c>
      <c r="W260" s="112" t="str">
        <f t="shared" si="74"/>
        <v/>
      </c>
      <c r="X260" s="112" t="str">
        <f t="shared" si="68"/>
        <v/>
      </c>
      <c r="Y260" s="112" t="str">
        <f t="shared" si="69"/>
        <v/>
      </c>
      <c r="Z260" s="112" t="str">
        <f t="shared" si="75"/>
        <v/>
      </c>
      <c r="AA260" s="112" t="str">
        <f t="shared" si="76"/>
        <v/>
      </c>
      <c r="AB260" s="112" t="str">
        <f t="shared" si="77"/>
        <v/>
      </c>
      <c r="AC260" s="112" t="str">
        <f t="shared" si="78"/>
        <v/>
      </c>
      <c r="AD260" s="112" t="str">
        <f t="shared" si="79"/>
        <v/>
      </c>
    </row>
    <row r="261" spans="1:30" x14ac:dyDescent="0.2">
      <c r="A261" s="112" t="str">
        <f>IF(SUM(Q261:R261)=1,1+MAX($A$1:A260),"")</f>
        <v/>
      </c>
      <c r="B261" s="112" t="str">
        <f>IF(SUM(X261:Y261)=1,1+MAX($B$1:B260),"")</f>
        <v/>
      </c>
      <c r="C261" s="112" t="str">
        <f>IF(SUM(Q261:R261,X261:Y261)=2,1+MAX($C$1:C260),"")</f>
        <v/>
      </c>
      <c r="D261" s="113">
        <v>35983</v>
      </c>
      <c r="E261" s="112">
        <v>1998</v>
      </c>
      <c r="F261" s="112" t="s">
        <v>2609</v>
      </c>
      <c r="H261" s="114" t="s">
        <v>1442</v>
      </c>
      <c r="I261" s="112">
        <f t="shared" si="64"/>
        <v>1</v>
      </c>
      <c r="J261" s="112">
        <f t="shared" si="65"/>
        <v>1</v>
      </c>
      <c r="K261" s="115" t="s">
        <v>2604</v>
      </c>
      <c r="L261" s="115" t="s">
        <v>2854</v>
      </c>
      <c r="M261" s="115" t="s">
        <v>2833</v>
      </c>
      <c r="N261" s="115">
        <v>54000</v>
      </c>
      <c r="O261" s="112">
        <v>2</v>
      </c>
      <c r="P261" s="116" t="s">
        <v>2645</v>
      </c>
      <c r="Q261" s="112" t="str">
        <f t="shared" si="66"/>
        <v/>
      </c>
      <c r="R261" s="112" t="str">
        <f t="shared" si="67"/>
        <v/>
      </c>
      <c r="S261" s="112" t="str">
        <f t="shared" si="70"/>
        <v/>
      </c>
      <c r="T261" s="112" t="str">
        <f t="shared" si="71"/>
        <v/>
      </c>
      <c r="U261" s="112" t="str">
        <f t="shared" si="72"/>
        <v/>
      </c>
      <c r="V261" s="112" t="str">
        <f t="shared" si="73"/>
        <v/>
      </c>
      <c r="W261" s="112" t="str">
        <f t="shared" si="74"/>
        <v/>
      </c>
      <c r="X261" s="112" t="str">
        <f t="shared" si="68"/>
        <v/>
      </c>
      <c r="Y261" s="112" t="str">
        <f t="shared" si="69"/>
        <v/>
      </c>
      <c r="Z261" s="112" t="str">
        <f t="shared" si="75"/>
        <v/>
      </c>
      <c r="AA261" s="112" t="str">
        <f t="shared" si="76"/>
        <v/>
      </c>
      <c r="AB261" s="112" t="str">
        <f t="shared" si="77"/>
        <v/>
      </c>
      <c r="AC261" s="112" t="str">
        <f t="shared" si="78"/>
        <v/>
      </c>
      <c r="AD261" s="112" t="str">
        <f t="shared" si="79"/>
        <v/>
      </c>
    </row>
    <row r="262" spans="1:30" x14ac:dyDescent="0.2">
      <c r="A262" s="112" t="str">
        <f>IF(SUM(Q262:R262)=1,1+MAX($A$1:A261),"")</f>
        <v/>
      </c>
      <c r="B262" s="112" t="str">
        <f>IF(SUM(X262:Y262)=1,1+MAX($B$1:B261),"")</f>
        <v/>
      </c>
      <c r="C262" s="112" t="str">
        <f>IF(SUM(Q262:R262,X262:Y262)=2,1+MAX($C$1:C261),"")</f>
        <v/>
      </c>
      <c r="D262" s="113">
        <v>35980</v>
      </c>
      <c r="E262" s="112">
        <v>1998</v>
      </c>
      <c r="F262" s="112" t="s">
        <v>2618</v>
      </c>
      <c r="H262" s="114" t="s">
        <v>1024</v>
      </c>
      <c r="I262" s="112">
        <f t="shared" si="64"/>
        <v>3</v>
      </c>
      <c r="J262" s="112">
        <f t="shared" si="65"/>
        <v>0</v>
      </c>
      <c r="K262" s="115" t="s">
        <v>2547</v>
      </c>
      <c r="L262" s="115" t="s">
        <v>2855</v>
      </c>
      <c r="M262" s="115" t="s">
        <v>2856</v>
      </c>
      <c r="N262" s="115">
        <v>39100</v>
      </c>
      <c r="O262" s="112">
        <v>2</v>
      </c>
      <c r="P262" s="116" t="s">
        <v>2713</v>
      </c>
      <c r="Q262" s="112" t="str">
        <f t="shared" si="66"/>
        <v/>
      </c>
      <c r="R262" s="112" t="str">
        <f t="shared" si="67"/>
        <v/>
      </c>
      <c r="S262" s="112" t="str">
        <f t="shared" si="70"/>
        <v/>
      </c>
      <c r="T262" s="112" t="str">
        <f t="shared" si="71"/>
        <v/>
      </c>
      <c r="U262" s="112" t="str">
        <f t="shared" si="72"/>
        <v/>
      </c>
      <c r="V262" s="112" t="str">
        <f t="shared" si="73"/>
        <v/>
      </c>
      <c r="W262" s="112" t="str">
        <f t="shared" si="74"/>
        <v/>
      </c>
      <c r="X262" s="112" t="str">
        <f t="shared" si="68"/>
        <v/>
      </c>
      <c r="Y262" s="112" t="str">
        <f t="shared" si="69"/>
        <v/>
      </c>
      <c r="Z262" s="112" t="str">
        <f t="shared" si="75"/>
        <v/>
      </c>
      <c r="AA262" s="112" t="str">
        <f t="shared" si="76"/>
        <v/>
      </c>
      <c r="AB262" s="112" t="str">
        <f t="shared" si="77"/>
        <v/>
      </c>
      <c r="AC262" s="112" t="str">
        <f t="shared" si="78"/>
        <v/>
      </c>
      <c r="AD262" s="112" t="str">
        <f t="shared" si="79"/>
        <v/>
      </c>
    </row>
    <row r="263" spans="1:30" x14ac:dyDescent="0.2">
      <c r="A263" s="112" t="str">
        <f>IF(SUM(Q263:R263)=1,1+MAX($A$1:A262),"")</f>
        <v/>
      </c>
      <c r="B263" s="112">
        <f>IF(SUM(X263:Y263)=1,1+MAX($B$1:B262),"")</f>
        <v>21</v>
      </c>
      <c r="C263" s="112" t="str">
        <f>IF(SUM(Q263:R263,X263:Y263)=2,1+MAX($C$1:C262),"")</f>
        <v/>
      </c>
      <c r="D263" s="113">
        <v>35980</v>
      </c>
      <c r="E263" s="112">
        <v>1998</v>
      </c>
      <c r="F263" s="112" t="s">
        <v>2618</v>
      </c>
      <c r="H263" s="114" t="s">
        <v>1134</v>
      </c>
      <c r="I263" s="112">
        <f t="shared" si="64"/>
        <v>1</v>
      </c>
      <c r="J263" s="112">
        <f t="shared" si="65"/>
        <v>2</v>
      </c>
      <c r="K263" s="115" t="s">
        <v>2604</v>
      </c>
      <c r="L263" s="115" t="s">
        <v>2854</v>
      </c>
      <c r="M263" s="115" t="s">
        <v>2857</v>
      </c>
      <c r="N263" s="115">
        <v>55000</v>
      </c>
      <c r="O263" s="112">
        <v>2</v>
      </c>
      <c r="P263" s="116" t="s">
        <v>2638</v>
      </c>
      <c r="Q263" s="112" t="str">
        <f t="shared" si="66"/>
        <v/>
      </c>
      <c r="R263" s="112" t="str">
        <f t="shared" si="67"/>
        <v/>
      </c>
      <c r="S263" s="112" t="str">
        <f t="shared" si="70"/>
        <v/>
      </c>
      <c r="T263" s="112" t="str">
        <f t="shared" si="71"/>
        <v/>
      </c>
      <c r="U263" s="112" t="str">
        <f t="shared" si="72"/>
        <v/>
      </c>
      <c r="V263" s="112" t="str">
        <f t="shared" si="73"/>
        <v/>
      </c>
      <c r="W263" s="112" t="str">
        <f t="shared" si="74"/>
        <v/>
      </c>
      <c r="X263" s="112">
        <f t="shared" si="68"/>
        <v>1</v>
      </c>
      <c r="Y263" s="112" t="str">
        <f t="shared" si="69"/>
        <v/>
      </c>
      <c r="Z263" s="112">
        <f t="shared" si="75"/>
        <v>0</v>
      </c>
      <c r="AA263" s="112">
        <f t="shared" si="76"/>
        <v>0</v>
      </c>
      <c r="AB263" s="112">
        <f t="shared" si="77"/>
        <v>1</v>
      </c>
      <c r="AC263" s="112">
        <f t="shared" si="78"/>
        <v>3</v>
      </c>
      <c r="AD263" s="112">
        <f t="shared" si="79"/>
        <v>-1</v>
      </c>
    </row>
    <row r="264" spans="1:30" x14ac:dyDescent="0.2">
      <c r="A264" s="112" t="str">
        <f>IF(SUM(Q264:R264)=1,1+MAX($A$1:A263),"")</f>
        <v/>
      </c>
      <c r="B264" s="112" t="str">
        <f>IF(SUM(X264:Y264)=1,1+MAX($B$1:B263),"")</f>
        <v/>
      </c>
      <c r="C264" s="112" t="str">
        <f>IF(SUM(Q264:R264,X264:Y264)=2,1+MAX($C$1:C263),"")</f>
        <v/>
      </c>
      <c r="D264" s="113">
        <v>35979</v>
      </c>
      <c r="E264" s="112">
        <v>1998</v>
      </c>
      <c r="F264" s="112" t="s">
        <v>2618</v>
      </c>
      <c r="H264" s="114" t="s">
        <v>1442</v>
      </c>
      <c r="I264" s="112">
        <f t="shared" si="64"/>
        <v>3</v>
      </c>
      <c r="J264" s="112">
        <f t="shared" si="65"/>
        <v>2</v>
      </c>
      <c r="K264" s="115" t="s">
        <v>2548</v>
      </c>
      <c r="L264" s="115" t="s">
        <v>2858</v>
      </c>
      <c r="M264" s="115" t="s">
        <v>2808</v>
      </c>
      <c r="N264" s="115">
        <v>35500</v>
      </c>
      <c r="O264" s="112">
        <v>2</v>
      </c>
      <c r="P264" s="116" t="s">
        <v>2664</v>
      </c>
      <c r="Q264" s="112" t="str">
        <f t="shared" si="66"/>
        <v/>
      </c>
      <c r="R264" s="112" t="str">
        <f t="shared" si="67"/>
        <v/>
      </c>
      <c r="S264" s="112" t="str">
        <f t="shared" si="70"/>
        <v/>
      </c>
      <c r="T264" s="112" t="str">
        <f t="shared" si="71"/>
        <v/>
      </c>
      <c r="U264" s="112" t="str">
        <f t="shared" si="72"/>
        <v/>
      </c>
      <c r="V264" s="112" t="str">
        <f t="shared" si="73"/>
        <v/>
      </c>
      <c r="W264" s="112" t="str">
        <f t="shared" si="74"/>
        <v/>
      </c>
      <c r="X264" s="112" t="str">
        <f t="shared" si="68"/>
        <v/>
      </c>
      <c r="Y264" s="112" t="str">
        <f t="shared" si="69"/>
        <v/>
      </c>
      <c r="Z264" s="112" t="str">
        <f t="shared" si="75"/>
        <v/>
      </c>
      <c r="AA264" s="112" t="str">
        <f t="shared" si="76"/>
        <v/>
      </c>
      <c r="AB264" s="112" t="str">
        <f t="shared" si="77"/>
        <v/>
      </c>
      <c r="AC264" s="112" t="str">
        <f t="shared" si="78"/>
        <v/>
      </c>
      <c r="AD264" s="112" t="str">
        <f t="shared" si="79"/>
        <v/>
      </c>
    </row>
    <row r="265" spans="1:30" x14ac:dyDescent="0.2">
      <c r="A265" s="112" t="str">
        <f>IF(SUM(Q265:R265)=1,1+MAX($A$1:A264),"")</f>
        <v/>
      </c>
      <c r="B265" s="112" t="str">
        <f>IF(SUM(X265:Y265)=1,1+MAX($B$1:B264),"")</f>
        <v/>
      </c>
      <c r="C265" s="112" t="str">
        <f>IF(SUM(Q265:R265,X265:Y265)=2,1+MAX($C$1:C264),"")</f>
        <v/>
      </c>
      <c r="D265" s="113">
        <v>35979</v>
      </c>
      <c r="E265" s="112">
        <v>1998</v>
      </c>
      <c r="F265" s="112" t="s">
        <v>2618</v>
      </c>
      <c r="H265" s="114" t="s">
        <v>2541</v>
      </c>
      <c r="I265" s="112">
        <f t="shared" si="64"/>
        <v>0</v>
      </c>
      <c r="J265" s="112">
        <f t="shared" si="65"/>
        <v>0</v>
      </c>
      <c r="K265" s="115" t="s">
        <v>2674</v>
      </c>
      <c r="L265" s="115" t="s">
        <v>2849</v>
      </c>
      <c r="M265" s="115" t="s">
        <v>2810</v>
      </c>
      <c r="N265" s="115">
        <v>77000</v>
      </c>
      <c r="O265" s="112">
        <v>2</v>
      </c>
      <c r="P265" s="116" t="s">
        <v>2613</v>
      </c>
      <c r="Q265" s="112" t="str">
        <f t="shared" si="66"/>
        <v/>
      </c>
      <c r="R265" s="112" t="str">
        <f t="shared" si="67"/>
        <v/>
      </c>
      <c r="S265" s="112" t="str">
        <f t="shared" si="70"/>
        <v/>
      </c>
      <c r="T265" s="112" t="str">
        <f t="shared" si="71"/>
        <v/>
      </c>
      <c r="U265" s="112" t="str">
        <f t="shared" si="72"/>
        <v/>
      </c>
      <c r="V265" s="112" t="str">
        <f t="shared" si="73"/>
        <v/>
      </c>
      <c r="W265" s="112" t="str">
        <f t="shared" si="74"/>
        <v/>
      </c>
      <c r="X265" s="112" t="str">
        <f t="shared" si="68"/>
        <v/>
      </c>
      <c r="Y265" s="112" t="str">
        <f t="shared" si="69"/>
        <v/>
      </c>
      <c r="Z265" s="112" t="str">
        <f t="shared" si="75"/>
        <v/>
      </c>
      <c r="AA265" s="112" t="str">
        <f t="shared" si="76"/>
        <v/>
      </c>
      <c r="AB265" s="112" t="str">
        <f t="shared" si="77"/>
        <v/>
      </c>
      <c r="AC265" s="112" t="str">
        <f t="shared" si="78"/>
        <v/>
      </c>
      <c r="AD265" s="112" t="str">
        <f t="shared" si="79"/>
        <v/>
      </c>
    </row>
    <row r="266" spans="1:30" x14ac:dyDescent="0.2">
      <c r="A266" s="112">
        <f>IF(SUM(Q266:R266)=1,1+MAX($A$1:A265),"")</f>
        <v>18</v>
      </c>
      <c r="B266" s="112">
        <f>IF(SUM(X266:Y266)=1,1+MAX($B$1:B265),"")</f>
        <v>22</v>
      </c>
      <c r="C266" s="112">
        <f>IF(SUM(Q266:R266,X266:Y266)=2,1+MAX($C$1:C265),"")</f>
        <v>2</v>
      </c>
      <c r="D266" s="113">
        <v>35976</v>
      </c>
      <c r="E266" s="112">
        <v>1998</v>
      </c>
      <c r="F266" s="112" t="s">
        <v>2629</v>
      </c>
      <c r="H266" s="114" t="s">
        <v>1134</v>
      </c>
      <c r="I266" s="112">
        <f t="shared" si="64"/>
        <v>2</v>
      </c>
      <c r="J266" s="112">
        <f t="shared" si="65"/>
        <v>2</v>
      </c>
      <c r="K266" s="115" t="s">
        <v>2545</v>
      </c>
      <c r="L266" s="115" t="s">
        <v>2859</v>
      </c>
      <c r="M266" s="115" t="s">
        <v>2803</v>
      </c>
      <c r="N266" s="115">
        <v>30600</v>
      </c>
      <c r="O266" s="112">
        <v>2</v>
      </c>
      <c r="P266" s="116" t="s">
        <v>2697</v>
      </c>
      <c r="Q266" s="112" t="str">
        <f t="shared" si="66"/>
        <v/>
      </c>
      <c r="R266" s="112">
        <f t="shared" si="67"/>
        <v>1</v>
      </c>
      <c r="S266" s="112">
        <f t="shared" si="70"/>
        <v>0</v>
      </c>
      <c r="T266" s="112">
        <f t="shared" si="71"/>
        <v>1</v>
      </c>
      <c r="U266" s="112">
        <f t="shared" si="72"/>
        <v>0</v>
      </c>
      <c r="V266" s="112">
        <f t="shared" si="73"/>
        <v>4</v>
      </c>
      <c r="W266" s="112">
        <f t="shared" si="74"/>
        <v>0</v>
      </c>
      <c r="X266" s="112">
        <f t="shared" si="68"/>
        <v>1</v>
      </c>
      <c r="Y266" s="112" t="str">
        <f t="shared" si="69"/>
        <v/>
      </c>
      <c r="Z266" s="112">
        <f t="shared" si="75"/>
        <v>0</v>
      </c>
      <c r="AA266" s="112">
        <f t="shared" si="76"/>
        <v>1</v>
      </c>
      <c r="AB266" s="112">
        <f t="shared" si="77"/>
        <v>0</v>
      </c>
      <c r="AC266" s="112">
        <f t="shared" si="78"/>
        <v>4</v>
      </c>
      <c r="AD266" s="112">
        <f t="shared" si="79"/>
        <v>0</v>
      </c>
    </row>
    <row r="267" spans="1:30" x14ac:dyDescent="0.2">
      <c r="A267" s="112" t="str">
        <f>IF(SUM(Q267:R267)=1,1+MAX($A$1:A266),"")</f>
        <v/>
      </c>
      <c r="B267" s="112" t="str">
        <f>IF(SUM(X267:Y267)=1,1+MAX($B$1:B266),"")</f>
        <v/>
      </c>
      <c r="C267" s="112" t="str">
        <f>IF(SUM(Q267:R267,X267:Y267)=2,1+MAX($C$1:C266),"")</f>
        <v/>
      </c>
      <c r="D267" s="113">
        <v>35976</v>
      </c>
      <c r="E267" s="112">
        <v>1998</v>
      </c>
      <c r="F267" s="112" t="s">
        <v>2629</v>
      </c>
      <c r="H267" s="114" t="s">
        <v>1024</v>
      </c>
      <c r="I267" s="112">
        <f t="shared" si="64"/>
        <v>1</v>
      </c>
      <c r="J267" s="112">
        <f t="shared" si="65"/>
        <v>0</v>
      </c>
      <c r="K267" s="115" t="s">
        <v>2711</v>
      </c>
      <c r="L267" s="115" t="s">
        <v>2860</v>
      </c>
      <c r="M267" s="115" t="s">
        <v>2861</v>
      </c>
      <c r="N267" s="115">
        <v>31800</v>
      </c>
      <c r="O267" s="112">
        <v>2</v>
      </c>
      <c r="P267" s="116" t="s">
        <v>2622</v>
      </c>
      <c r="Q267" s="112" t="str">
        <f t="shared" si="66"/>
        <v/>
      </c>
      <c r="R267" s="112" t="str">
        <f t="shared" si="67"/>
        <v/>
      </c>
      <c r="S267" s="112" t="str">
        <f t="shared" si="70"/>
        <v/>
      </c>
      <c r="T267" s="112" t="str">
        <f t="shared" si="71"/>
        <v/>
      </c>
      <c r="U267" s="112" t="str">
        <f t="shared" si="72"/>
        <v/>
      </c>
      <c r="V267" s="112" t="str">
        <f t="shared" si="73"/>
        <v/>
      </c>
      <c r="W267" s="112" t="str">
        <f t="shared" si="74"/>
        <v/>
      </c>
      <c r="X267" s="112" t="str">
        <f t="shared" si="68"/>
        <v/>
      </c>
      <c r="Y267" s="112" t="str">
        <f t="shared" si="69"/>
        <v/>
      </c>
      <c r="Z267" s="112" t="str">
        <f t="shared" si="75"/>
        <v/>
      </c>
      <c r="AA267" s="112" t="str">
        <f t="shared" si="76"/>
        <v/>
      </c>
      <c r="AB267" s="112" t="str">
        <f t="shared" si="77"/>
        <v/>
      </c>
      <c r="AC267" s="112" t="str">
        <f t="shared" si="78"/>
        <v/>
      </c>
      <c r="AD267" s="112" t="str">
        <f t="shared" si="79"/>
        <v/>
      </c>
    </row>
    <row r="268" spans="1:30" x14ac:dyDescent="0.2">
      <c r="A268" s="112" t="str">
        <f>IF(SUM(Q268:R268)=1,1+MAX($A$1:A267),"")</f>
        <v/>
      </c>
      <c r="B268" s="112" t="str">
        <f>IF(SUM(X268:Y268)=1,1+MAX($B$1:B267),"")</f>
        <v/>
      </c>
      <c r="C268" s="112" t="str">
        <f>IF(SUM(Q268:R268,X268:Y268)=2,1+MAX($C$1:C267),"")</f>
        <v/>
      </c>
      <c r="D268" s="113">
        <v>35975</v>
      </c>
      <c r="E268" s="112">
        <v>1998</v>
      </c>
      <c r="F268" s="112" t="s">
        <v>2629</v>
      </c>
      <c r="H268" s="114" t="s">
        <v>2604</v>
      </c>
      <c r="I268" s="112">
        <f t="shared" si="64"/>
        <v>2</v>
      </c>
      <c r="J268" s="112">
        <f t="shared" si="65"/>
        <v>1</v>
      </c>
      <c r="K268" s="115" t="s">
        <v>2862</v>
      </c>
      <c r="L268" s="115" t="s">
        <v>2863</v>
      </c>
      <c r="M268" s="115" t="s">
        <v>2853</v>
      </c>
      <c r="N268" s="115">
        <v>33500</v>
      </c>
      <c r="O268" s="112">
        <v>2</v>
      </c>
      <c r="P268" s="116" t="s">
        <v>2626</v>
      </c>
      <c r="Q268" s="112" t="str">
        <f t="shared" si="66"/>
        <v/>
      </c>
      <c r="R268" s="112" t="str">
        <f t="shared" si="67"/>
        <v/>
      </c>
      <c r="S268" s="112" t="str">
        <f t="shared" si="70"/>
        <v/>
      </c>
      <c r="T268" s="112" t="str">
        <f t="shared" si="71"/>
        <v/>
      </c>
      <c r="U268" s="112" t="str">
        <f t="shared" si="72"/>
        <v/>
      </c>
      <c r="V268" s="112" t="str">
        <f t="shared" si="73"/>
        <v/>
      </c>
      <c r="W268" s="112" t="str">
        <f t="shared" si="74"/>
        <v/>
      </c>
      <c r="X268" s="112" t="str">
        <f t="shared" si="68"/>
        <v/>
      </c>
      <c r="Y268" s="112" t="str">
        <f t="shared" si="69"/>
        <v/>
      </c>
      <c r="Z268" s="112" t="str">
        <f t="shared" si="75"/>
        <v/>
      </c>
      <c r="AA268" s="112" t="str">
        <f t="shared" si="76"/>
        <v/>
      </c>
      <c r="AB268" s="112" t="str">
        <f t="shared" si="77"/>
        <v/>
      </c>
      <c r="AC268" s="112" t="str">
        <f t="shared" si="78"/>
        <v/>
      </c>
      <c r="AD268" s="112" t="str">
        <f t="shared" si="79"/>
        <v/>
      </c>
    </row>
    <row r="269" spans="1:30" x14ac:dyDescent="0.2">
      <c r="A269" s="112" t="str">
        <f>IF(SUM(Q269:R269)=1,1+MAX($A$1:A268),"")</f>
        <v/>
      </c>
      <c r="B269" s="112" t="str">
        <f>IF(SUM(X269:Y269)=1,1+MAX($B$1:B268),"")</f>
        <v/>
      </c>
      <c r="C269" s="112" t="str">
        <f>IF(SUM(Q269:R269,X269:Y269)=2,1+MAX($C$1:C268),"")</f>
        <v/>
      </c>
      <c r="D269" s="113">
        <v>35975</v>
      </c>
      <c r="E269" s="112">
        <v>1998</v>
      </c>
      <c r="F269" s="112" t="s">
        <v>2629</v>
      </c>
      <c r="H269" s="114" t="s">
        <v>2547</v>
      </c>
      <c r="I269" s="112">
        <f t="shared" si="64"/>
        <v>2</v>
      </c>
      <c r="J269" s="112">
        <f t="shared" si="65"/>
        <v>1</v>
      </c>
      <c r="K269" s="115" t="s">
        <v>1061</v>
      </c>
      <c r="L269" s="115" t="s">
        <v>2864</v>
      </c>
      <c r="M269" s="115" t="s">
        <v>2820</v>
      </c>
      <c r="N269" s="115">
        <v>29800</v>
      </c>
      <c r="O269" s="112">
        <v>2</v>
      </c>
      <c r="P269" s="116" t="s">
        <v>2626</v>
      </c>
      <c r="Q269" s="112" t="str">
        <f t="shared" si="66"/>
        <v/>
      </c>
      <c r="R269" s="112" t="str">
        <f t="shared" si="67"/>
        <v/>
      </c>
      <c r="S269" s="112" t="str">
        <f t="shared" si="70"/>
        <v/>
      </c>
      <c r="T269" s="112" t="str">
        <f t="shared" si="71"/>
        <v/>
      </c>
      <c r="U269" s="112" t="str">
        <f t="shared" si="72"/>
        <v/>
      </c>
      <c r="V269" s="112" t="str">
        <f t="shared" si="73"/>
        <v/>
      </c>
      <c r="W269" s="112" t="str">
        <f t="shared" si="74"/>
        <v/>
      </c>
      <c r="X269" s="112" t="str">
        <f t="shared" si="68"/>
        <v/>
      </c>
      <c r="Y269" s="112" t="str">
        <f t="shared" si="69"/>
        <v/>
      </c>
      <c r="Z269" s="112" t="str">
        <f t="shared" si="75"/>
        <v/>
      </c>
      <c r="AA269" s="112" t="str">
        <f t="shared" si="76"/>
        <v/>
      </c>
      <c r="AB269" s="112" t="str">
        <f t="shared" si="77"/>
        <v/>
      </c>
      <c r="AC269" s="112" t="str">
        <f t="shared" si="78"/>
        <v/>
      </c>
      <c r="AD269" s="112" t="str">
        <f t="shared" si="79"/>
        <v/>
      </c>
    </row>
    <row r="270" spans="1:30" x14ac:dyDescent="0.2">
      <c r="A270" s="112" t="str">
        <f>IF(SUM(Q270:R270)=1,1+MAX($A$1:A269),"")</f>
        <v/>
      </c>
      <c r="B270" s="112" t="str">
        <f>IF(SUM(X270:Y270)=1,1+MAX($B$1:B269),"")</f>
        <v/>
      </c>
      <c r="C270" s="112" t="str">
        <f>IF(SUM(Q270:R270,X270:Y270)=2,1+MAX($C$1:C269),"")</f>
        <v/>
      </c>
      <c r="D270" s="113">
        <v>35974</v>
      </c>
      <c r="E270" s="112">
        <v>1998</v>
      </c>
      <c r="F270" s="112" t="s">
        <v>2629</v>
      </c>
      <c r="H270" s="114" t="s">
        <v>2548</v>
      </c>
      <c r="I270" s="112">
        <f t="shared" si="64"/>
        <v>4</v>
      </c>
      <c r="J270" s="112">
        <f t="shared" si="65"/>
        <v>1</v>
      </c>
      <c r="K270" s="115" t="s">
        <v>2542</v>
      </c>
      <c r="L270" s="115" t="s">
        <v>2849</v>
      </c>
      <c r="M270" s="115" t="s">
        <v>2805</v>
      </c>
      <c r="N270" s="115">
        <v>77000</v>
      </c>
      <c r="O270" s="112">
        <v>2</v>
      </c>
      <c r="P270" s="116" t="s">
        <v>2683</v>
      </c>
      <c r="Q270" s="112" t="str">
        <f t="shared" si="66"/>
        <v/>
      </c>
      <c r="R270" s="112" t="str">
        <f t="shared" si="67"/>
        <v/>
      </c>
      <c r="S270" s="112" t="str">
        <f t="shared" si="70"/>
        <v/>
      </c>
      <c r="T270" s="112" t="str">
        <f t="shared" si="71"/>
        <v/>
      </c>
      <c r="U270" s="112" t="str">
        <f t="shared" si="72"/>
        <v/>
      </c>
      <c r="V270" s="112" t="str">
        <f t="shared" si="73"/>
        <v/>
      </c>
      <c r="W270" s="112" t="str">
        <f t="shared" si="74"/>
        <v/>
      </c>
      <c r="X270" s="112" t="str">
        <f t="shared" si="68"/>
        <v/>
      </c>
      <c r="Y270" s="112" t="str">
        <f t="shared" si="69"/>
        <v/>
      </c>
      <c r="Z270" s="112" t="str">
        <f t="shared" si="75"/>
        <v/>
      </c>
      <c r="AA270" s="112" t="str">
        <f t="shared" si="76"/>
        <v/>
      </c>
      <c r="AB270" s="112" t="str">
        <f t="shared" si="77"/>
        <v/>
      </c>
      <c r="AC270" s="112" t="str">
        <f t="shared" si="78"/>
        <v/>
      </c>
      <c r="AD270" s="112" t="str">
        <f t="shared" si="79"/>
        <v/>
      </c>
    </row>
    <row r="271" spans="1:30" x14ac:dyDescent="0.2">
      <c r="A271" s="112" t="str">
        <f>IF(SUM(Q271:R271)=1,1+MAX($A$1:A270),"")</f>
        <v/>
      </c>
      <c r="B271" s="112" t="str">
        <f>IF(SUM(X271:Y271)=1,1+MAX($B$1:B270),"")</f>
        <v/>
      </c>
      <c r="C271" s="112" t="str">
        <f>IF(SUM(Q271:R271,X271:Y271)=2,1+MAX($C$1:C270),"")</f>
        <v/>
      </c>
      <c r="D271" s="113">
        <v>35974</v>
      </c>
      <c r="E271" s="112">
        <v>1998</v>
      </c>
      <c r="F271" s="112" t="s">
        <v>2629</v>
      </c>
      <c r="H271" s="114" t="s">
        <v>2541</v>
      </c>
      <c r="I271" s="112">
        <f t="shared" si="64"/>
        <v>1</v>
      </c>
      <c r="J271" s="112">
        <f t="shared" si="65"/>
        <v>0</v>
      </c>
      <c r="K271" s="115" t="s">
        <v>2709</v>
      </c>
      <c r="L271" s="115" t="s">
        <v>2865</v>
      </c>
      <c r="M271" s="115" t="s">
        <v>2833</v>
      </c>
      <c r="N271" s="115">
        <v>38100</v>
      </c>
      <c r="O271" s="112">
        <v>3</v>
      </c>
      <c r="P271" s="116" t="s">
        <v>2622</v>
      </c>
      <c r="Q271" s="112" t="str">
        <f t="shared" si="66"/>
        <v/>
      </c>
      <c r="R271" s="112" t="str">
        <f t="shared" si="67"/>
        <v/>
      </c>
      <c r="S271" s="112" t="str">
        <f t="shared" si="70"/>
        <v/>
      </c>
      <c r="T271" s="112" t="str">
        <f t="shared" si="71"/>
        <v/>
      </c>
      <c r="U271" s="112" t="str">
        <f t="shared" si="72"/>
        <v/>
      </c>
      <c r="V271" s="112" t="str">
        <f t="shared" si="73"/>
        <v/>
      </c>
      <c r="W271" s="112" t="str">
        <f t="shared" si="74"/>
        <v/>
      </c>
      <c r="X271" s="112" t="str">
        <f t="shared" si="68"/>
        <v/>
      </c>
      <c r="Y271" s="112" t="str">
        <f t="shared" si="69"/>
        <v/>
      </c>
      <c r="Z271" s="112" t="str">
        <f t="shared" si="75"/>
        <v/>
      </c>
      <c r="AA271" s="112" t="str">
        <f t="shared" si="76"/>
        <v/>
      </c>
      <c r="AB271" s="112" t="str">
        <f t="shared" si="77"/>
        <v/>
      </c>
      <c r="AC271" s="112" t="str">
        <f t="shared" si="78"/>
        <v/>
      </c>
      <c r="AD271" s="112" t="str">
        <f t="shared" si="79"/>
        <v/>
      </c>
    </row>
    <row r="272" spans="1:30" x14ac:dyDescent="0.2">
      <c r="A272" s="112" t="str">
        <f>IF(SUM(Q272:R272)=1,1+MAX($A$1:A271),"")</f>
        <v/>
      </c>
      <c r="B272" s="112" t="str">
        <f>IF(SUM(X272:Y272)=1,1+MAX($B$1:B271),"")</f>
        <v/>
      </c>
      <c r="C272" s="112" t="str">
        <f>IF(SUM(Q272:R272,X272:Y272)=2,1+MAX($C$1:C271),"")</f>
        <v/>
      </c>
      <c r="D272" s="113">
        <v>35973</v>
      </c>
      <c r="E272" s="112">
        <v>1998</v>
      </c>
      <c r="F272" s="112" t="s">
        <v>2629</v>
      </c>
      <c r="H272" s="114" t="s">
        <v>1442</v>
      </c>
      <c r="I272" s="112">
        <f t="shared" si="64"/>
        <v>4</v>
      </c>
      <c r="J272" s="112">
        <f t="shared" si="65"/>
        <v>1</v>
      </c>
      <c r="K272" s="115" t="s">
        <v>2650</v>
      </c>
      <c r="L272" s="115" t="s">
        <v>2851</v>
      </c>
      <c r="M272" s="115" t="s">
        <v>2866</v>
      </c>
      <c r="N272" s="115">
        <v>45000</v>
      </c>
      <c r="O272" s="112">
        <v>2</v>
      </c>
      <c r="P272" s="116" t="s">
        <v>2683</v>
      </c>
      <c r="Q272" s="112" t="str">
        <f t="shared" si="66"/>
        <v/>
      </c>
      <c r="R272" s="112" t="str">
        <f t="shared" si="67"/>
        <v/>
      </c>
      <c r="S272" s="112" t="str">
        <f t="shared" si="70"/>
        <v/>
      </c>
      <c r="T272" s="112" t="str">
        <f t="shared" si="71"/>
        <v/>
      </c>
      <c r="U272" s="112" t="str">
        <f t="shared" si="72"/>
        <v/>
      </c>
      <c r="V272" s="112" t="str">
        <f t="shared" si="73"/>
        <v/>
      </c>
      <c r="W272" s="112" t="str">
        <f t="shared" si="74"/>
        <v/>
      </c>
      <c r="X272" s="112" t="str">
        <f t="shared" si="68"/>
        <v/>
      </c>
      <c r="Y272" s="112" t="str">
        <f t="shared" si="69"/>
        <v/>
      </c>
      <c r="Z272" s="112" t="str">
        <f t="shared" si="75"/>
        <v/>
      </c>
      <c r="AA272" s="112" t="str">
        <f t="shared" si="76"/>
        <v/>
      </c>
      <c r="AB272" s="112" t="str">
        <f t="shared" si="77"/>
        <v/>
      </c>
      <c r="AC272" s="112" t="str">
        <f t="shared" si="78"/>
        <v/>
      </c>
      <c r="AD272" s="112" t="str">
        <f t="shared" si="79"/>
        <v/>
      </c>
    </row>
    <row r="273" spans="1:30" x14ac:dyDescent="0.2">
      <c r="A273" s="112" t="str">
        <f>IF(SUM(Q273:R273)=1,1+MAX($A$1:A272),"")</f>
        <v/>
      </c>
      <c r="B273" s="112" t="str">
        <f>IF(SUM(X273:Y273)=1,1+MAX($B$1:B272),"")</f>
        <v/>
      </c>
      <c r="C273" s="112" t="str">
        <f>IF(SUM(Q273:R273,X273:Y273)=2,1+MAX($C$1:C272),"")</f>
        <v/>
      </c>
      <c r="D273" s="113">
        <v>35973</v>
      </c>
      <c r="E273" s="112">
        <v>1998</v>
      </c>
      <c r="F273" s="112" t="s">
        <v>2629</v>
      </c>
      <c r="H273" s="114" t="s">
        <v>2674</v>
      </c>
      <c r="I273" s="112">
        <f t="shared" si="64"/>
        <v>1</v>
      </c>
      <c r="J273" s="112">
        <f t="shared" si="65"/>
        <v>0</v>
      </c>
      <c r="K273" s="115" t="s">
        <v>2707</v>
      </c>
      <c r="L273" s="115" t="s">
        <v>2854</v>
      </c>
      <c r="M273" s="115" t="s">
        <v>2867</v>
      </c>
      <c r="N273" s="115">
        <v>55000</v>
      </c>
      <c r="O273" s="112">
        <v>2</v>
      </c>
      <c r="P273" s="116" t="s">
        <v>2622</v>
      </c>
      <c r="Q273" s="112" t="str">
        <f t="shared" si="66"/>
        <v/>
      </c>
      <c r="R273" s="112" t="str">
        <f t="shared" si="67"/>
        <v/>
      </c>
      <c r="S273" s="112" t="str">
        <f t="shared" si="70"/>
        <v/>
      </c>
      <c r="T273" s="112" t="str">
        <f t="shared" si="71"/>
        <v/>
      </c>
      <c r="U273" s="112" t="str">
        <f t="shared" si="72"/>
        <v/>
      </c>
      <c r="V273" s="112" t="str">
        <f t="shared" si="73"/>
        <v/>
      </c>
      <c r="W273" s="112" t="str">
        <f t="shared" si="74"/>
        <v/>
      </c>
      <c r="X273" s="112" t="str">
        <f t="shared" si="68"/>
        <v/>
      </c>
      <c r="Y273" s="112" t="str">
        <f t="shared" si="69"/>
        <v/>
      </c>
      <c r="Z273" s="112" t="str">
        <f t="shared" si="75"/>
        <v/>
      </c>
      <c r="AA273" s="112" t="str">
        <f t="shared" si="76"/>
        <v/>
      </c>
      <c r="AB273" s="112" t="str">
        <f t="shared" si="77"/>
        <v/>
      </c>
      <c r="AC273" s="112" t="str">
        <f t="shared" si="78"/>
        <v/>
      </c>
      <c r="AD273" s="112" t="str">
        <f t="shared" si="79"/>
        <v/>
      </c>
    </row>
    <row r="274" spans="1:30" x14ac:dyDescent="0.2">
      <c r="A274" s="112" t="str">
        <f>IF(SUM(Q274:R274)=1,1+MAX($A$1:A273),"")</f>
        <v/>
      </c>
      <c r="B274" s="112" t="str">
        <f>IF(SUM(X274:Y274)=1,1+MAX($B$1:B273),"")</f>
        <v/>
      </c>
      <c r="C274" s="112" t="str">
        <f>IF(SUM(Q274:R274,X274:Y274)=2,1+MAX($C$1:C273),"")</f>
        <v/>
      </c>
      <c r="D274" s="113">
        <v>35972</v>
      </c>
      <c r="E274" s="112">
        <v>1998</v>
      </c>
      <c r="F274" s="112" t="s">
        <v>2652</v>
      </c>
      <c r="G274" s="112" t="s">
        <v>2653</v>
      </c>
      <c r="H274" s="114" t="s">
        <v>2732</v>
      </c>
      <c r="I274" s="112">
        <f t="shared" si="64"/>
        <v>2</v>
      </c>
      <c r="J274" s="112">
        <f t="shared" si="65"/>
        <v>1</v>
      </c>
      <c r="K274" s="115" t="s">
        <v>1395</v>
      </c>
      <c r="L274" s="115" t="s">
        <v>2855</v>
      </c>
      <c r="M274" s="115" t="s">
        <v>2868</v>
      </c>
      <c r="N274" s="115">
        <v>39100</v>
      </c>
      <c r="O274" s="112">
        <v>3</v>
      </c>
      <c r="P274" s="116" t="s">
        <v>2626</v>
      </c>
      <c r="Q274" s="112" t="str">
        <f t="shared" si="66"/>
        <v/>
      </c>
      <c r="R274" s="112" t="str">
        <f t="shared" si="67"/>
        <v/>
      </c>
      <c r="S274" s="112" t="str">
        <f t="shared" si="70"/>
        <v/>
      </c>
      <c r="T274" s="112" t="str">
        <f t="shared" si="71"/>
        <v/>
      </c>
      <c r="U274" s="112" t="str">
        <f t="shared" si="72"/>
        <v/>
      </c>
      <c r="V274" s="112" t="str">
        <f t="shared" si="73"/>
        <v/>
      </c>
      <c r="W274" s="112" t="str">
        <f t="shared" si="74"/>
        <v/>
      </c>
      <c r="X274" s="112" t="str">
        <f t="shared" si="68"/>
        <v/>
      </c>
      <c r="Y274" s="112" t="str">
        <f t="shared" si="69"/>
        <v/>
      </c>
      <c r="Z274" s="112" t="str">
        <f t="shared" si="75"/>
        <v/>
      </c>
      <c r="AA274" s="112" t="str">
        <f t="shared" si="76"/>
        <v/>
      </c>
      <c r="AB274" s="112" t="str">
        <f t="shared" si="77"/>
        <v/>
      </c>
      <c r="AC274" s="112" t="str">
        <f t="shared" si="78"/>
        <v/>
      </c>
      <c r="AD274" s="112" t="str">
        <f t="shared" si="79"/>
        <v/>
      </c>
    </row>
    <row r="275" spans="1:30" x14ac:dyDescent="0.2">
      <c r="A275" s="112" t="str">
        <f>IF(SUM(Q275:R275)=1,1+MAX($A$1:A274),"")</f>
        <v/>
      </c>
      <c r="B275" s="112">
        <f>IF(SUM(X275:Y275)=1,1+MAX($B$1:B274),"")</f>
        <v>23</v>
      </c>
      <c r="C275" s="112" t="str">
        <f>IF(SUM(Q275:R275,X275:Y275)=2,1+MAX($C$1:C274),"")</f>
        <v/>
      </c>
      <c r="D275" s="113">
        <v>35972</v>
      </c>
      <c r="E275" s="112">
        <v>1998</v>
      </c>
      <c r="F275" s="112" t="s">
        <v>2652</v>
      </c>
      <c r="G275" s="112" t="s">
        <v>2653</v>
      </c>
      <c r="H275" s="114" t="s">
        <v>1134</v>
      </c>
      <c r="I275" s="112">
        <f t="shared" si="64"/>
        <v>1</v>
      </c>
      <c r="J275" s="112">
        <f t="shared" si="65"/>
        <v>0</v>
      </c>
      <c r="K275" s="115" t="s">
        <v>1024</v>
      </c>
      <c r="L275" s="115" t="s">
        <v>2860</v>
      </c>
      <c r="M275" s="115" t="s">
        <v>2850</v>
      </c>
      <c r="N275" s="115">
        <v>31800</v>
      </c>
      <c r="O275" s="112">
        <v>2</v>
      </c>
      <c r="P275" s="116" t="s">
        <v>2622</v>
      </c>
      <c r="Q275" s="112" t="str">
        <f t="shared" si="66"/>
        <v/>
      </c>
      <c r="R275" s="112" t="str">
        <f t="shared" si="67"/>
        <v/>
      </c>
      <c r="S275" s="112" t="str">
        <f t="shared" si="70"/>
        <v/>
      </c>
      <c r="T275" s="112" t="str">
        <f t="shared" si="71"/>
        <v/>
      </c>
      <c r="U275" s="112" t="str">
        <f t="shared" si="72"/>
        <v/>
      </c>
      <c r="V275" s="112" t="str">
        <f t="shared" si="73"/>
        <v/>
      </c>
      <c r="W275" s="112" t="str">
        <f t="shared" si="74"/>
        <v/>
      </c>
      <c r="X275" s="112">
        <f t="shared" si="68"/>
        <v>1</v>
      </c>
      <c r="Y275" s="112" t="str">
        <f t="shared" si="69"/>
        <v/>
      </c>
      <c r="Z275" s="112">
        <f t="shared" si="75"/>
        <v>1</v>
      </c>
      <c r="AA275" s="112">
        <f t="shared" si="76"/>
        <v>0</v>
      </c>
      <c r="AB275" s="112">
        <f t="shared" si="77"/>
        <v>0</v>
      </c>
      <c r="AC275" s="112">
        <f t="shared" si="78"/>
        <v>1</v>
      </c>
      <c r="AD275" s="112">
        <f t="shared" si="79"/>
        <v>1</v>
      </c>
    </row>
    <row r="276" spans="1:30" x14ac:dyDescent="0.2">
      <c r="A276" s="112" t="str">
        <f>IF(SUM(Q276:R276)=1,1+MAX($A$1:A275),"")</f>
        <v/>
      </c>
      <c r="B276" s="112" t="str">
        <f>IF(SUM(X276:Y276)=1,1+MAX($B$1:B275),"")</f>
        <v/>
      </c>
      <c r="C276" s="112" t="str">
        <f>IF(SUM(Q276:R276,X276:Y276)=2,1+MAX($C$1:C275),"")</f>
        <v/>
      </c>
      <c r="D276" s="113">
        <v>35972</v>
      </c>
      <c r="E276" s="112">
        <v>1998</v>
      </c>
      <c r="F276" s="112" t="s">
        <v>2656</v>
      </c>
      <c r="G276" s="112" t="s">
        <v>2657</v>
      </c>
      <c r="H276" s="114" t="s">
        <v>2711</v>
      </c>
      <c r="I276" s="112">
        <f t="shared" si="64"/>
        <v>1</v>
      </c>
      <c r="J276" s="112">
        <f t="shared" si="65"/>
        <v>1</v>
      </c>
      <c r="K276" s="115" t="s">
        <v>2388</v>
      </c>
      <c r="L276" s="115" t="s">
        <v>2849</v>
      </c>
      <c r="M276" s="115" t="s">
        <v>2869</v>
      </c>
      <c r="N276" s="115">
        <v>77000</v>
      </c>
      <c r="O276" s="112">
        <v>2</v>
      </c>
      <c r="P276" s="116" t="s">
        <v>2645</v>
      </c>
      <c r="Q276" s="112" t="str">
        <f t="shared" si="66"/>
        <v/>
      </c>
      <c r="R276" s="112" t="str">
        <f t="shared" si="67"/>
        <v/>
      </c>
      <c r="S276" s="112" t="str">
        <f t="shared" si="70"/>
        <v/>
      </c>
      <c r="T276" s="112" t="str">
        <f t="shared" si="71"/>
        <v/>
      </c>
      <c r="U276" s="112" t="str">
        <f t="shared" si="72"/>
        <v/>
      </c>
      <c r="V276" s="112" t="str">
        <f t="shared" si="73"/>
        <v/>
      </c>
      <c r="W276" s="112" t="str">
        <f t="shared" si="74"/>
        <v/>
      </c>
      <c r="X276" s="112" t="str">
        <f t="shared" si="68"/>
        <v/>
      </c>
      <c r="Y276" s="112" t="str">
        <f t="shared" si="69"/>
        <v/>
      </c>
      <c r="Z276" s="112" t="str">
        <f t="shared" si="75"/>
        <v/>
      </c>
      <c r="AA276" s="112" t="str">
        <f t="shared" si="76"/>
        <v/>
      </c>
      <c r="AB276" s="112" t="str">
        <f t="shared" si="77"/>
        <v/>
      </c>
      <c r="AC276" s="112" t="str">
        <f t="shared" si="78"/>
        <v/>
      </c>
      <c r="AD276" s="112" t="str">
        <f t="shared" si="79"/>
        <v/>
      </c>
    </row>
    <row r="277" spans="1:30" x14ac:dyDescent="0.2">
      <c r="A277" s="112">
        <f>IF(SUM(Q277:R277)=1,1+MAX($A$1:A276),"")</f>
        <v>19</v>
      </c>
      <c r="B277" s="112" t="str">
        <f>IF(SUM(X277:Y277)=1,1+MAX($B$1:B276),"")</f>
        <v/>
      </c>
      <c r="C277" s="112" t="str">
        <f>IF(SUM(Q277:R277,X277:Y277)=2,1+MAX($C$1:C276),"")</f>
        <v/>
      </c>
      <c r="D277" s="113">
        <v>35972</v>
      </c>
      <c r="E277" s="112">
        <v>1998</v>
      </c>
      <c r="F277" s="112" t="s">
        <v>2656</v>
      </c>
      <c r="G277" s="112" t="s">
        <v>2657</v>
      </c>
      <c r="H277" s="114" t="s">
        <v>1347</v>
      </c>
      <c r="I277" s="112">
        <f t="shared" si="64"/>
        <v>2</v>
      </c>
      <c r="J277" s="112">
        <f t="shared" si="65"/>
        <v>0</v>
      </c>
      <c r="K277" s="115" t="s">
        <v>2545</v>
      </c>
      <c r="L277" s="115" t="s">
        <v>2865</v>
      </c>
      <c r="M277" s="115" t="s">
        <v>2857</v>
      </c>
      <c r="N277" s="115">
        <v>38100</v>
      </c>
      <c r="O277" s="112">
        <v>2</v>
      </c>
      <c r="P277" s="116" t="s">
        <v>2641</v>
      </c>
      <c r="Q277" s="112" t="str">
        <f t="shared" si="66"/>
        <v/>
      </c>
      <c r="R277" s="112">
        <f t="shared" si="67"/>
        <v>1</v>
      </c>
      <c r="S277" s="112">
        <f t="shared" si="70"/>
        <v>0</v>
      </c>
      <c r="T277" s="112">
        <f t="shared" si="71"/>
        <v>0</v>
      </c>
      <c r="U277" s="112">
        <f t="shared" si="72"/>
        <v>1</v>
      </c>
      <c r="V277" s="112">
        <f t="shared" si="73"/>
        <v>2</v>
      </c>
      <c r="W277" s="112">
        <f t="shared" si="74"/>
        <v>-2</v>
      </c>
      <c r="X277" s="112" t="str">
        <f t="shared" si="68"/>
        <v/>
      </c>
      <c r="Y277" s="112" t="str">
        <f t="shared" si="69"/>
        <v/>
      </c>
      <c r="Z277" s="112" t="str">
        <f t="shared" si="75"/>
        <v/>
      </c>
      <c r="AA277" s="112" t="str">
        <f t="shared" si="76"/>
        <v/>
      </c>
      <c r="AB277" s="112" t="str">
        <f t="shared" si="77"/>
        <v/>
      </c>
      <c r="AC277" s="112" t="str">
        <f t="shared" si="78"/>
        <v/>
      </c>
      <c r="AD277" s="112" t="str">
        <f t="shared" si="79"/>
        <v/>
      </c>
    </row>
    <row r="278" spans="1:30" x14ac:dyDescent="0.2">
      <c r="A278" s="112" t="str">
        <f>IF(SUM(Q278:R278)=1,1+MAX($A$1:A277),"")</f>
        <v/>
      </c>
      <c r="B278" s="112" t="str">
        <f>IF(SUM(X278:Y278)=1,1+MAX($B$1:B277),"")</f>
        <v/>
      </c>
      <c r="C278" s="112" t="str">
        <f>IF(SUM(Q278:R278,X278:Y278)=2,1+MAX($C$1:C277),"")</f>
        <v/>
      </c>
      <c r="D278" s="113">
        <v>35971</v>
      </c>
      <c r="E278" s="112">
        <v>1998</v>
      </c>
      <c r="F278" s="112" t="s">
        <v>2661</v>
      </c>
      <c r="G278" s="112" t="s">
        <v>2662</v>
      </c>
      <c r="H278" s="114" t="s">
        <v>2547</v>
      </c>
      <c r="I278" s="112">
        <f t="shared" si="64"/>
        <v>2</v>
      </c>
      <c r="J278" s="112">
        <f t="shared" si="65"/>
        <v>0</v>
      </c>
      <c r="K278" s="115" t="s">
        <v>2553</v>
      </c>
      <c r="L278" s="115" t="s">
        <v>2864</v>
      </c>
      <c r="M278" s="115" t="s">
        <v>2852</v>
      </c>
      <c r="N278" s="115">
        <v>29800</v>
      </c>
      <c r="O278" s="112">
        <v>2</v>
      </c>
      <c r="P278" s="116" t="s">
        <v>2641</v>
      </c>
      <c r="Q278" s="112" t="str">
        <f t="shared" si="66"/>
        <v/>
      </c>
      <c r="R278" s="112" t="str">
        <f t="shared" si="67"/>
        <v/>
      </c>
      <c r="S278" s="112" t="str">
        <f t="shared" si="70"/>
        <v/>
      </c>
      <c r="T278" s="112" t="str">
        <f t="shared" si="71"/>
        <v/>
      </c>
      <c r="U278" s="112" t="str">
        <f t="shared" si="72"/>
        <v/>
      </c>
      <c r="V278" s="112" t="str">
        <f t="shared" si="73"/>
        <v/>
      </c>
      <c r="W278" s="112" t="str">
        <f t="shared" si="74"/>
        <v/>
      </c>
      <c r="X278" s="112" t="str">
        <f t="shared" si="68"/>
        <v/>
      </c>
      <c r="Y278" s="112" t="str">
        <f t="shared" si="69"/>
        <v/>
      </c>
      <c r="Z278" s="112" t="str">
        <f t="shared" si="75"/>
        <v/>
      </c>
      <c r="AA278" s="112" t="str">
        <f t="shared" si="76"/>
        <v/>
      </c>
      <c r="AB278" s="112" t="str">
        <f t="shared" si="77"/>
        <v/>
      </c>
      <c r="AC278" s="112" t="str">
        <f t="shared" si="78"/>
        <v/>
      </c>
      <c r="AD278" s="112" t="str">
        <f t="shared" si="79"/>
        <v/>
      </c>
    </row>
    <row r="279" spans="1:30" x14ac:dyDescent="0.2">
      <c r="A279" s="112" t="str">
        <f>IF(SUM(Q279:R279)=1,1+MAX($A$1:A278),"")</f>
        <v/>
      </c>
      <c r="B279" s="112" t="str">
        <f>IF(SUM(X279:Y279)=1,1+MAX($B$1:B278),"")</f>
        <v/>
      </c>
      <c r="C279" s="112" t="str">
        <f>IF(SUM(Q279:R279,X279:Y279)=2,1+MAX($C$1:C278),"")</f>
        <v/>
      </c>
      <c r="D279" s="113">
        <v>35971</v>
      </c>
      <c r="E279" s="112">
        <v>1998</v>
      </c>
      <c r="F279" s="112" t="s">
        <v>2661</v>
      </c>
      <c r="G279" s="112" t="s">
        <v>2662</v>
      </c>
      <c r="H279" s="114" t="s">
        <v>2614</v>
      </c>
      <c r="I279" s="112">
        <f t="shared" si="64"/>
        <v>0</v>
      </c>
      <c r="J279" s="112">
        <f t="shared" si="65"/>
        <v>1</v>
      </c>
      <c r="K279" s="115" t="s">
        <v>2862</v>
      </c>
      <c r="L279" s="115" t="s">
        <v>2858</v>
      </c>
      <c r="M279" s="115" t="s">
        <v>2808</v>
      </c>
      <c r="N279" s="115">
        <v>35500</v>
      </c>
      <c r="O279" s="112">
        <v>2</v>
      </c>
      <c r="P279" s="116" t="s">
        <v>2601</v>
      </c>
      <c r="Q279" s="112" t="str">
        <f t="shared" si="66"/>
        <v/>
      </c>
      <c r="R279" s="112" t="str">
        <f t="shared" si="67"/>
        <v/>
      </c>
      <c r="S279" s="112" t="str">
        <f t="shared" si="70"/>
        <v/>
      </c>
      <c r="T279" s="112" t="str">
        <f t="shared" si="71"/>
        <v/>
      </c>
      <c r="U279" s="112" t="str">
        <f t="shared" si="72"/>
        <v/>
      </c>
      <c r="V279" s="112" t="str">
        <f t="shared" si="73"/>
        <v/>
      </c>
      <c r="W279" s="112" t="str">
        <f t="shared" si="74"/>
        <v/>
      </c>
      <c r="X279" s="112" t="str">
        <f t="shared" si="68"/>
        <v/>
      </c>
      <c r="Y279" s="112" t="str">
        <f t="shared" si="69"/>
        <v/>
      </c>
      <c r="Z279" s="112" t="str">
        <f t="shared" si="75"/>
        <v/>
      </c>
      <c r="AA279" s="112" t="str">
        <f t="shared" si="76"/>
        <v/>
      </c>
      <c r="AB279" s="112" t="str">
        <f t="shared" si="77"/>
        <v/>
      </c>
      <c r="AC279" s="112" t="str">
        <f t="shared" si="78"/>
        <v/>
      </c>
      <c r="AD279" s="112" t="str">
        <f t="shared" si="79"/>
        <v/>
      </c>
    </row>
    <row r="280" spans="1:30" x14ac:dyDescent="0.2">
      <c r="A280" s="112" t="str">
        <f>IF(SUM(Q280:R280)=1,1+MAX($A$1:A279),"")</f>
        <v/>
      </c>
      <c r="B280" s="112" t="str">
        <f>IF(SUM(X280:Y280)=1,1+MAX($B$1:B279),"")</f>
        <v/>
      </c>
      <c r="C280" s="112" t="str">
        <f>IF(SUM(Q280:R280,X280:Y280)=2,1+MAX($C$1:C279),"")</f>
        <v/>
      </c>
      <c r="D280" s="113">
        <v>35971</v>
      </c>
      <c r="E280" s="112">
        <v>1998</v>
      </c>
      <c r="F280" s="112" t="s">
        <v>2666</v>
      </c>
      <c r="G280" s="112" t="s">
        <v>2667</v>
      </c>
      <c r="H280" s="114" t="s">
        <v>2554</v>
      </c>
      <c r="I280" s="112">
        <f t="shared" si="64"/>
        <v>1</v>
      </c>
      <c r="J280" s="112">
        <f t="shared" si="65"/>
        <v>1</v>
      </c>
      <c r="K280" s="115" t="s">
        <v>2543</v>
      </c>
      <c r="L280" s="115" t="s">
        <v>2851</v>
      </c>
      <c r="M280" s="115" t="s">
        <v>2870</v>
      </c>
      <c r="N280" s="115">
        <v>45500</v>
      </c>
      <c r="O280" s="112">
        <v>2</v>
      </c>
      <c r="P280" s="116" t="s">
        <v>2645</v>
      </c>
      <c r="Q280" s="112" t="str">
        <f t="shared" si="66"/>
        <v/>
      </c>
      <c r="R280" s="112" t="str">
        <f t="shared" si="67"/>
        <v/>
      </c>
      <c r="S280" s="112" t="str">
        <f t="shared" si="70"/>
        <v/>
      </c>
      <c r="T280" s="112" t="str">
        <f t="shared" si="71"/>
        <v/>
      </c>
      <c r="U280" s="112" t="str">
        <f t="shared" si="72"/>
        <v/>
      </c>
      <c r="V280" s="112" t="str">
        <f t="shared" si="73"/>
        <v/>
      </c>
      <c r="W280" s="112" t="str">
        <f t="shared" si="74"/>
        <v/>
      </c>
      <c r="X280" s="112" t="str">
        <f t="shared" si="68"/>
        <v/>
      </c>
      <c r="Y280" s="112" t="str">
        <f t="shared" si="69"/>
        <v/>
      </c>
      <c r="Z280" s="112" t="str">
        <f t="shared" si="75"/>
        <v/>
      </c>
      <c r="AA280" s="112" t="str">
        <f t="shared" si="76"/>
        <v/>
      </c>
      <c r="AB280" s="112" t="str">
        <f t="shared" si="77"/>
        <v/>
      </c>
      <c r="AC280" s="112" t="str">
        <f t="shared" si="78"/>
        <v/>
      </c>
      <c r="AD280" s="112" t="str">
        <f t="shared" si="79"/>
        <v/>
      </c>
    </row>
    <row r="281" spans="1:30" x14ac:dyDescent="0.2">
      <c r="A281" s="112" t="str">
        <f>IF(SUM(Q281:R281)=1,1+MAX($A$1:A280),"")</f>
        <v/>
      </c>
      <c r="B281" s="112" t="str">
        <f>IF(SUM(X281:Y281)=1,1+MAX($B$1:B280),"")</f>
        <v/>
      </c>
      <c r="C281" s="112" t="str">
        <f>IF(SUM(Q281:R281,X281:Y281)=2,1+MAX($C$1:C280),"")</f>
        <v/>
      </c>
      <c r="D281" s="113">
        <v>35971</v>
      </c>
      <c r="E281" s="112">
        <v>1998</v>
      </c>
      <c r="F281" s="112" t="s">
        <v>2666</v>
      </c>
      <c r="G281" s="112" t="s">
        <v>2667</v>
      </c>
      <c r="H281" s="114" t="s">
        <v>1061</v>
      </c>
      <c r="I281" s="112">
        <f t="shared" si="64"/>
        <v>2</v>
      </c>
      <c r="J281" s="112">
        <f t="shared" si="65"/>
        <v>2</v>
      </c>
      <c r="K281" s="115" t="s">
        <v>2604</v>
      </c>
      <c r="L281" s="115" t="s">
        <v>2859</v>
      </c>
      <c r="M281" s="115" t="s">
        <v>2871</v>
      </c>
      <c r="N281" s="115">
        <v>30600</v>
      </c>
      <c r="O281" s="112">
        <v>2</v>
      </c>
      <c r="P281" s="116" t="s">
        <v>2697</v>
      </c>
      <c r="Q281" s="112" t="str">
        <f t="shared" si="66"/>
        <v/>
      </c>
      <c r="R281" s="112" t="str">
        <f t="shared" si="67"/>
        <v/>
      </c>
      <c r="S281" s="112" t="str">
        <f t="shared" si="70"/>
        <v/>
      </c>
      <c r="T281" s="112" t="str">
        <f t="shared" si="71"/>
        <v/>
      </c>
      <c r="U281" s="112" t="str">
        <f t="shared" si="72"/>
        <v/>
      </c>
      <c r="V281" s="112" t="str">
        <f t="shared" si="73"/>
        <v/>
      </c>
      <c r="W281" s="112" t="str">
        <f t="shared" si="74"/>
        <v/>
      </c>
      <c r="X281" s="112" t="str">
        <f t="shared" si="68"/>
        <v/>
      </c>
      <c r="Y281" s="112" t="str">
        <f t="shared" si="69"/>
        <v/>
      </c>
      <c r="Z281" s="112" t="str">
        <f t="shared" si="75"/>
        <v/>
      </c>
      <c r="AA281" s="112" t="str">
        <f t="shared" si="76"/>
        <v/>
      </c>
      <c r="AB281" s="112" t="str">
        <f t="shared" si="77"/>
        <v/>
      </c>
      <c r="AC281" s="112" t="str">
        <f t="shared" si="78"/>
        <v/>
      </c>
      <c r="AD281" s="112" t="str">
        <f t="shared" si="79"/>
        <v/>
      </c>
    </row>
    <row r="282" spans="1:30" x14ac:dyDescent="0.2">
      <c r="A282" s="112" t="str">
        <f>IF(SUM(Q282:R282)=1,1+MAX($A$1:A281),"")</f>
        <v/>
      </c>
      <c r="B282" s="112" t="str">
        <f>IF(SUM(X282:Y282)=1,1+MAX($B$1:B281),"")</f>
        <v/>
      </c>
      <c r="C282" s="112" t="str">
        <f>IF(SUM(Q282:R282,X282:Y282)=2,1+MAX($C$1:C281),"")</f>
        <v/>
      </c>
      <c r="D282" s="113">
        <v>35970</v>
      </c>
      <c r="E282" s="112">
        <v>1998</v>
      </c>
      <c r="F282" s="112" t="s">
        <v>2672</v>
      </c>
      <c r="G282" s="112" t="s">
        <v>2673</v>
      </c>
      <c r="H282" s="114" t="s">
        <v>2631</v>
      </c>
      <c r="I282" s="112">
        <f t="shared" si="64"/>
        <v>1</v>
      </c>
      <c r="J282" s="112">
        <f t="shared" si="65"/>
        <v>6</v>
      </c>
      <c r="K282" s="115" t="s">
        <v>2557</v>
      </c>
      <c r="L282" s="115" t="s">
        <v>2865</v>
      </c>
      <c r="M282" s="115" t="s">
        <v>2872</v>
      </c>
      <c r="N282" s="115">
        <v>38100</v>
      </c>
      <c r="O282" s="112">
        <v>2</v>
      </c>
      <c r="P282" s="116" t="s">
        <v>2873</v>
      </c>
      <c r="Q282" s="112" t="str">
        <f t="shared" si="66"/>
        <v/>
      </c>
      <c r="R282" s="112" t="str">
        <f t="shared" si="67"/>
        <v/>
      </c>
      <c r="S282" s="112" t="str">
        <f t="shared" si="70"/>
        <v/>
      </c>
      <c r="T282" s="112" t="str">
        <f t="shared" si="71"/>
        <v/>
      </c>
      <c r="U282" s="112" t="str">
        <f t="shared" si="72"/>
        <v/>
      </c>
      <c r="V282" s="112" t="str">
        <f t="shared" si="73"/>
        <v/>
      </c>
      <c r="W282" s="112" t="str">
        <f t="shared" si="74"/>
        <v/>
      </c>
      <c r="X282" s="112" t="str">
        <f t="shared" si="68"/>
        <v/>
      </c>
      <c r="Y282" s="112" t="str">
        <f t="shared" si="69"/>
        <v/>
      </c>
      <c r="Z282" s="112" t="str">
        <f t="shared" si="75"/>
        <v/>
      </c>
      <c r="AA282" s="112" t="str">
        <f t="shared" si="76"/>
        <v/>
      </c>
      <c r="AB282" s="112" t="str">
        <f t="shared" si="77"/>
        <v/>
      </c>
      <c r="AC282" s="112" t="str">
        <f t="shared" si="78"/>
        <v/>
      </c>
      <c r="AD282" s="112" t="str">
        <f t="shared" si="79"/>
        <v/>
      </c>
    </row>
    <row r="283" spans="1:30" x14ac:dyDescent="0.2">
      <c r="A283" s="112" t="str">
        <f>IF(SUM(Q283:R283)=1,1+MAX($A$1:A282),"")</f>
        <v/>
      </c>
      <c r="B283" s="112" t="str">
        <f>IF(SUM(X283:Y283)=1,1+MAX($B$1:B282),"")</f>
        <v/>
      </c>
      <c r="C283" s="112" t="str">
        <f>IF(SUM(Q283:R283,X283:Y283)=2,1+MAX($C$1:C282),"")</f>
        <v/>
      </c>
      <c r="D283" s="113">
        <v>35970</v>
      </c>
      <c r="E283" s="112">
        <v>1998</v>
      </c>
      <c r="F283" s="112" t="s">
        <v>2672</v>
      </c>
      <c r="G283" s="112" t="s">
        <v>2673</v>
      </c>
      <c r="H283" s="114" t="s">
        <v>2542</v>
      </c>
      <c r="I283" s="112">
        <f t="shared" si="64"/>
        <v>1</v>
      </c>
      <c r="J283" s="112">
        <f t="shared" si="65"/>
        <v>3</v>
      </c>
      <c r="K283" s="115" t="s">
        <v>2709</v>
      </c>
      <c r="L283" s="115" t="s">
        <v>2863</v>
      </c>
      <c r="M283" s="115" t="s">
        <v>2874</v>
      </c>
      <c r="N283" s="115">
        <v>33500</v>
      </c>
      <c r="O283" s="112">
        <v>3</v>
      </c>
      <c r="P283" s="116" t="s">
        <v>2691</v>
      </c>
      <c r="Q283" s="112" t="str">
        <f t="shared" si="66"/>
        <v/>
      </c>
      <c r="R283" s="112" t="str">
        <f t="shared" si="67"/>
        <v/>
      </c>
      <c r="S283" s="112" t="str">
        <f t="shared" si="70"/>
        <v/>
      </c>
      <c r="T283" s="112" t="str">
        <f t="shared" si="71"/>
        <v/>
      </c>
      <c r="U283" s="112" t="str">
        <f t="shared" si="72"/>
        <v/>
      </c>
      <c r="V283" s="112" t="str">
        <f t="shared" si="73"/>
        <v/>
      </c>
      <c r="W283" s="112" t="str">
        <f t="shared" si="74"/>
        <v/>
      </c>
      <c r="X283" s="112" t="str">
        <f t="shared" si="68"/>
        <v/>
      </c>
      <c r="Y283" s="112" t="str">
        <f t="shared" si="69"/>
        <v/>
      </c>
      <c r="Z283" s="112" t="str">
        <f t="shared" si="75"/>
        <v/>
      </c>
      <c r="AA283" s="112" t="str">
        <f t="shared" si="76"/>
        <v/>
      </c>
      <c r="AB283" s="112" t="str">
        <f t="shared" si="77"/>
        <v/>
      </c>
      <c r="AC283" s="112" t="str">
        <f t="shared" si="78"/>
        <v/>
      </c>
      <c r="AD283" s="112" t="str">
        <f t="shared" si="79"/>
        <v/>
      </c>
    </row>
    <row r="284" spans="1:30" x14ac:dyDescent="0.2">
      <c r="A284" s="112" t="str">
        <f>IF(SUM(Q284:R284)=1,1+MAX($A$1:A283),"")</f>
        <v/>
      </c>
      <c r="B284" s="112" t="str">
        <f>IF(SUM(X284:Y284)=1,1+MAX($B$1:B283),"")</f>
        <v/>
      </c>
      <c r="C284" s="112" t="str">
        <f>IF(SUM(Q284:R284,X284:Y284)=2,1+MAX($C$1:C283),"")</f>
        <v/>
      </c>
      <c r="D284" s="113">
        <v>35970</v>
      </c>
      <c r="E284" s="112">
        <v>1998</v>
      </c>
      <c r="F284" s="112" t="s">
        <v>2677</v>
      </c>
      <c r="G284" s="112" t="s">
        <v>2678</v>
      </c>
      <c r="H284" s="114" t="s">
        <v>2559</v>
      </c>
      <c r="I284" s="112">
        <f t="shared" si="64"/>
        <v>2</v>
      </c>
      <c r="J284" s="112">
        <f t="shared" si="65"/>
        <v>2</v>
      </c>
      <c r="K284" s="115" t="s">
        <v>2692</v>
      </c>
      <c r="L284" s="115" t="s">
        <v>2860</v>
      </c>
      <c r="M284" s="115" t="s">
        <v>2875</v>
      </c>
      <c r="N284" s="115">
        <v>31800</v>
      </c>
      <c r="O284" s="112">
        <v>2</v>
      </c>
      <c r="P284" s="116" t="s">
        <v>2697</v>
      </c>
      <c r="Q284" s="112" t="str">
        <f t="shared" si="66"/>
        <v/>
      </c>
      <c r="R284" s="112" t="str">
        <f t="shared" si="67"/>
        <v/>
      </c>
      <c r="S284" s="112" t="str">
        <f t="shared" si="70"/>
        <v/>
      </c>
      <c r="T284" s="112" t="str">
        <f t="shared" si="71"/>
        <v/>
      </c>
      <c r="U284" s="112" t="str">
        <f t="shared" si="72"/>
        <v/>
      </c>
      <c r="V284" s="112" t="str">
        <f t="shared" si="73"/>
        <v/>
      </c>
      <c r="W284" s="112" t="str">
        <f t="shared" si="74"/>
        <v/>
      </c>
      <c r="X284" s="112" t="str">
        <f t="shared" si="68"/>
        <v/>
      </c>
      <c r="Y284" s="112" t="str">
        <f t="shared" si="69"/>
        <v/>
      </c>
      <c r="Z284" s="112" t="str">
        <f t="shared" si="75"/>
        <v/>
      </c>
      <c r="AA284" s="112" t="str">
        <f t="shared" si="76"/>
        <v/>
      </c>
      <c r="AB284" s="112" t="str">
        <f t="shared" si="77"/>
        <v/>
      </c>
      <c r="AC284" s="112" t="str">
        <f t="shared" si="78"/>
        <v/>
      </c>
      <c r="AD284" s="112" t="str">
        <f t="shared" si="79"/>
        <v/>
      </c>
    </row>
    <row r="285" spans="1:30" x14ac:dyDescent="0.2">
      <c r="A285" s="112" t="str">
        <f>IF(SUM(Q285:R285)=1,1+MAX($A$1:A284),"")</f>
        <v/>
      </c>
      <c r="B285" s="112" t="str">
        <f>IF(SUM(X285:Y285)=1,1+MAX($B$1:B284),"")</f>
        <v/>
      </c>
      <c r="C285" s="112" t="str">
        <f>IF(SUM(Q285:R285,X285:Y285)=2,1+MAX($C$1:C284),"")</f>
        <v/>
      </c>
      <c r="D285" s="113">
        <v>35970</v>
      </c>
      <c r="E285" s="112">
        <v>1998</v>
      </c>
      <c r="F285" s="112" t="s">
        <v>2677</v>
      </c>
      <c r="G285" s="112" t="s">
        <v>2678</v>
      </c>
      <c r="H285" s="114" t="s">
        <v>2548</v>
      </c>
      <c r="I285" s="112">
        <f t="shared" si="64"/>
        <v>1</v>
      </c>
      <c r="J285" s="112">
        <f t="shared" si="65"/>
        <v>2</v>
      </c>
      <c r="K285" s="115" t="s">
        <v>2541</v>
      </c>
      <c r="L285" s="115" t="s">
        <v>2855</v>
      </c>
      <c r="M285" s="115" t="s">
        <v>2798</v>
      </c>
      <c r="N285" s="115">
        <v>39100</v>
      </c>
      <c r="O285" s="112">
        <v>2</v>
      </c>
      <c r="P285" s="116" t="s">
        <v>2638</v>
      </c>
      <c r="Q285" s="112" t="str">
        <f t="shared" si="66"/>
        <v/>
      </c>
      <c r="R285" s="112" t="str">
        <f t="shared" si="67"/>
        <v/>
      </c>
      <c r="S285" s="112" t="str">
        <f t="shared" si="70"/>
        <v/>
      </c>
      <c r="T285" s="112" t="str">
        <f t="shared" si="71"/>
        <v/>
      </c>
      <c r="U285" s="112" t="str">
        <f t="shared" si="72"/>
        <v/>
      </c>
      <c r="V285" s="112" t="str">
        <f t="shared" si="73"/>
        <v/>
      </c>
      <c r="W285" s="112" t="str">
        <f t="shared" si="74"/>
        <v/>
      </c>
      <c r="X285" s="112" t="str">
        <f t="shared" si="68"/>
        <v/>
      </c>
      <c r="Y285" s="112" t="str">
        <f t="shared" si="69"/>
        <v/>
      </c>
      <c r="Z285" s="112" t="str">
        <f t="shared" si="75"/>
        <v/>
      </c>
      <c r="AA285" s="112" t="str">
        <f t="shared" si="76"/>
        <v/>
      </c>
      <c r="AB285" s="112" t="str">
        <f t="shared" si="77"/>
        <v/>
      </c>
      <c r="AC285" s="112" t="str">
        <f t="shared" si="78"/>
        <v/>
      </c>
      <c r="AD285" s="112" t="str">
        <f t="shared" si="79"/>
        <v/>
      </c>
    </row>
    <row r="286" spans="1:30" x14ac:dyDescent="0.2">
      <c r="A286" s="112" t="str">
        <f>IF(SUM(Q286:R286)=1,1+MAX($A$1:A285),"")</f>
        <v/>
      </c>
      <c r="B286" s="112" t="str">
        <f>IF(SUM(X286:Y286)=1,1+MAX($B$1:B285),"")</f>
        <v/>
      </c>
      <c r="C286" s="112" t="str">
        <f>IF(SUM(Q286:R286,X286:Y286)=2,1+MAX($C$1:C285),"")</f>
        <v/>
      </c>
      <c r="D286" s="113">
        <v>35969</v>
      </c>
      <c r="E286" s="112">
        <v>1998</v>
      </c>
      <c r="F286" s="112" t="s">
        <v>2684</v>
      </c>
      <c r="G286" s="112" t="s">
        <v>2685</v>
      </c>
      <c r="H286" s="114" t="s">
        <v>2693</v>
      </c>
      <c r="I286" s="112">
        <f t="shared" si="64"/>
        <v>1</v>
      </c>
      <c r="J286" s="112">
        <f t="shared" si="65"/>
        <v>1</v>
      </c>
      <c r="K286" s="115" t="s">
        <v>2650</v>
      </c>
      <c r="L286" s="115" t="s">
        <v>2858</v>
      </c>
      <c r="M286" s="115" t="s">
        <v>2876</v>
      </c>
      <c r="N286" s="115">
        <v>35500</v>
      </c>
      <c r="O286" s="112">
        <v>2</v>
      </c>
      <c r="P286" s="116" t="s">
        <v>2645</v>
      </c>
      <c r="Q286" s="112" t="str">
        <f t="shared" si="66"/>
        <v/>
      </c>
      <c r="R286" s="112" t="str">
        <f t="shared" si="67"/>
        <v/>
      </c>
      <c r="S286" s="112" t="str">
        <f t="shared" si="70"/>
        <v/>
      </c>
      <c r="T286" s="112" t="str">
        <f t="shared" si="71"/>
        <v/>
      </c>
      <c r="U286" s="112" t="str">
        <f t="shared" si="72"/>
        <v/>
      </c>
      <c r="V286" s="112" t="str">
        <f t="shared" si="73"/>
        <v/>
      </c>
      <c r="W286" s="112" t="str">
        <f t="shared" si="74"/>
        <v/>
      </c>
      <c r="X286" s="112" t="str">
        <f t="shared" si="68"/>
        <v/>
      </c>
      <c r="Y286" s="112" t="str">
        <f t="shared" si="69"/>
        <v/>
      </c>
      <c r="Z286" s="112" t="str">
        <f t="shared" si="75"/>
        <v/>
      </c>
      <c r="AA286" s="112" t="str">
        <f t="shared" si="76"/>
        <v/>
      </c>
      <c r="AB286" s="112" t="str">
        <f t="shared" si="77"/>
        <v/>
      </c>
      <c r="AC286" s="112" t="str">
        <f t="shared" si="78"/>
        <v/>
      </c>
      <c r="AD286" s="112" t="str">
        <f t="shared" si="79"/>
        <v/>
      </c>
    </row>
    <row r="287" spans="1:30" x14ac:dyDescent="0.2">
      <c r="A287" s="112" t="str">
        <f>IF(SUM(Q287:R287)=1,1+MAX($A$1:A286),"")</f>
        <v/>
      </c>
      <c r="B287" s="112" t="str">
        <f>IF(SUM(X287:Y287)=1,1+MAX($B$1:B286),"")</f>
        <v/>
      </c>
      <c r="C287" s="112" t="str">
        <f>IF(SUM(Q287:R287,X287:Y287)=2,1+MAX($C$1:C286),"")</f>
        <v/>
      </c>
      <c r="D287" s="113">
        <v>35969</v>
      </c>
      <c r="E287" s="112">
        <v>1998</v>
      </c>
      <c r="F287" s="112" t="s">
        <v>2684</v>
      </c>
      <c r="G287" s="112" t="s">
        <v>2685</v>
      </c>
      <c r="H287" s="114" t="s">
        <v>2623</v>
      </c>
      <c r="I287" s="112">
        <f t="shared" si="64"/>
        <v>1</v>
      </c>
      <c r="J287" s="112">
        <f t="shared" si="65"/>
        <v>2</v>
      </c>
      <c r="K287" s="115" t="s">
        <v>2674</v>
      </c>
      <c r="L287" s="115" t="s">
        <v>2849</v>
      </c>
      <c r="M287" s="115" t="s">
        <v>2877</v>
      </c>
      <c r="N287" s="115">
        <v>80000</v>
      </c>
      <c r="O287" s="112">
        <v>2</v>
      </c>
      <c r="P287" s="116" t="s">
        <v>2638</v>
      </c>
      <c r="Q287" s="112" t="str">
        <f t="shared" si="66"/>
        <v/>
      </c>
      <c r="R287" s="112" t="str">
        <f t="shared" si="67"/>
        <v/>
      </c>
      <c r="S287" s="112" t="str">
        <f t="shared" si="70"/>
        <v/>
      </c>
      <c r="T287" s="112" t="str">
        <f t="shared" si="71"/>
        <v/>
      </c>
      <c r="U287" s="112" t="str">
        <f t="shared" si="72"/>
        <v/>
      </c>
      <c r="V287" s="112" t="str">
        <f t="shared" si="73"/>
        <v/>
      </c>
      <c r="W287" s="112" t="str">
        <f t="shared" si="74"/>
        <v/>
      </c>
      <c r="X287" s="112" t="str">
        <f t="shared" si="68"/>
        <v/>
      </c>
      <c r="Y287" s="112" t="str">
        <f t="shared" si="69"/>
        <v/>
      </c>
      <c r="Z287" s="112" t="str">
        <f t="shared" si="75"/>
        <v/>
      </c>
      <c r="AA287" s="112" t="str">
        <f t="shared" si="76"/>
        <v/>
      </c>
      <c r="AB287" s="112" t="str">
        <f t="shared" si="77"/>
        <v/>
      </c>
      <c r="AC287" s="112" t="str">
        <f t="shared" si="78"/>
        <v/>
      </c>
      <c r="AD287" s="112" t="str">
        <f t="shared" si="79"/>
        <v/>
      </c>
    </row>
    <row r="288" spans="1:30" x14ac:dyDescent="0.2">
      <c r="A288" s="112" t="str">
        <f>IF(SUM(Q288:R288)=1,1+MAX($A$1:A287),"")</f>
        <v/>
      </c>
      <c r="B288" s="112" t="str">
        <f>IF(SUM(X288:Y288)=1,1+MAX($B$1:B287),"")</f>
        <v/>
      </c>
      <c r="C288" s="112" t="str">
        <f>IF(SUM(Q288:R288,X288:Y288)=2,1+MAX($C$1:C287),"")</f>
        <v/>
      </c>
      <c r="D288" s="113">
        <v>35969</v>
      </c>
      <c r="E288" s="112">
        <v>1998</v>
      </c>
      <c r="F288" s="112" t="s">
        <v>2689</v>
      </c>
      <c r="G288" s="112" t="s">
        <v>2690</v>
      </c>
      <c r="H288" s="114" t="s">
        <v>2555</v>
      </c>
      <c r="I288" s="112">
        <f t="shared" si="64"/>
        <v>3</v>
      </c>
      <c r="J288" s="112">
        <f t="shared" si="65"/>
        <v>0</v>
      </c>
      <c r="K288" s="115" t="s">
        <v>2717</v>
      </c>
      <c r="L288" s="115" t="s">
        <v>2859</v>
      </c>
      <c r="M288" s="115" t="s">
        <v>2833</v>
      </c>
      <c r="N288" s="115">
        <v>30600</v>
      </c>
      <c r="O288" s="112">
        <v>2</v>
      </c>
      <c r="P288" s="116" t="s">
        <v>2713</v>
      </c>
      <c r="Q288" s="112" t="str">
        <f t="shared" si="66"/>
        <v/>
      </c>
      <c r="R288" s="112" t="str">
        <f t="shared" si="67"/>
        <v/>
      </c>
      <c r="S288" s="112" t="str">
        <f t="shared" si="70"/>
        <v/>
      </c>
      <c r="T288" s="112" t="str">
        <f t="shared" si="71"/>
        <v/>
      </c>
      <c r="U288" s="112" t="str">
        <f t="shared" si="72"/>
        <v/>
      </c>
      <c r="V288" s="112" t="str">
        <f t="shared" si="73"/>
        <v/>
      </c>
      <c r="W288" s="112" t="str">
        <f t="shared" si="74"/>
        <v/>
      </c>
      <c r="X288" s="112" t="str">
        <f t="shared" si="68"/>
        <v/>
      </c>
      <c r="Y288" s="112" t="str">
        <f t="shared" si="69"/>
        <v/>
      </c>
      <c r="Z288" s="112" t="str">
        <f t="shared" si="75"/>
        <v/>
      </c>
      <c r="AA288" s="112" t="str">
        <f t="shared" si="76"/>
        <v/>
      </c>
      <c r="AB288" s="112" t="str">
        <f t="shared" si="77"/>
        <v/>
      </c>
      <c r="AC288" s="112" t="str">
        <f t="shared" si="78"/>
        <v/>
      </c>
      <c r="AD288" s="112" t="str">
        <f t="shared" si="79"/>
        <v/>
      </c>
    </row>
    <row r="289" spans="1:30" x14ac:dyDescent="0.2">
      <c r="A289" s="112" t="str">
        <f>IF(SUM(Q289:R289)=1,1+MAX($A$1:A288),"")</f>
        <v/>
      </c>
      <c r="B289" s="112" t="str">
        <f>IF(SUM(X289:Y289)=1,1+MAX($B$1:B288),"")</f>
        <v/>
      </c>
      <c r="C289" s="112" t="str">
        <f>IF(SUM(Q289:R289,X289:Y289)=2,1+MAX($C$1:C288),"")</f>
        <v/>
      </c>
      <c r="D289" s="113">
        <v>35969</v>
      </c>
      <c r="E289" s="112">
        <v>1998</v>
      </c>
      <c r="F289" s="112" t="s">
        <v>2689</v>
      </c>
      <c r="G289" s="112" t="s">
        <v>2690</v>
      </c>
      <c r="H289" s="114" t="s">
        <v>1442</v>
      </c>
      <c r="I289" s="112">
        <f t="shared" si="64"/>
        <v>1</v>
      </c>
      <c r="J289" s="112">
        <f t="shared" si="65"/>
        <v>2</v>
      </c>
      <c r="K289" s="115" t="s">
        <v>2707</v>
      </c>
      <c r="L289" s="115" t="s">
        <v>2854</v>
      </c>
      <c r="M289" s="115" t="s">
        <v>2878</v>
      </c>
      <c r="N289" s="115">
        <v>55000</v>
      </c>
      <c r="O289" s="112">
        <v>2</v>
      </c>
      <c r="P289" s="116" t="s">
        <v>2638</v>
      </c>
      <c r="Q289" s="112" t="str">
        <f t="shared" si="66"/>
        <v/>
      </c>
      <c r="R289" s="112" t="str">
        <f t="shared" si="67"/>
        <v/>
      </c>
      <c r="S289" s="112" t="str">
        <f t="shared" si="70"/>
        <v/>
      </c>
      <c r="T289" s="112" t="str">
        <f t="shared" si="71"/>
        <v/>
      </c>
      <c r="U289" s="112" t="str">
        <f t="shared" si="72"/>
        <v/>
      </c>
      <c r="V289" s="112" t="str">
        <f t="shared" si="73"/>
        <v/>
      </c>
      <c r="W289" s="112" t="str">
        <f t="shared" si="74"/>
        <v/>
      </c>
      <c r="X289" s="112" t="str">
        <f t="shared" si="68"/>
        <v/>
      </c>
      <c r="Y289" s="112" t="str">
        <f t="shared" si="69"/>
        <v/>
      </c>
      <c r="Z289" s="112" t="str">
        <f t="shared" si="75"/>
        <v/>
      </c>
      <c r="AA289" s="112" t="str">
        <f t="shared" si="76"/>
        <v/>
      </c>
      <c r="AB289" s="112" t="str">
        <f t="shared" si="77"/>
        <v/>
      </c>
      <c r="AC289" s="112" t="str">
        <f t="shared" si="78"/>
        <v/>
      </c>
      <c r="AD289" s="112" t="str">
        <f t="shared" si="79"/>
        <v/>
      </c>
    </row>
    <row r="290" spans="1:30" x14ac:dyDescent="0.2">
      <c r="A290" s="112">
        <f>IF(SUM(Q290:R290)=1,1+MAX($A$1:A289),"")</f>
        <v>20</v>
      </c>
      <c r="B290" s="112" t="str">
        <f>IF(SUM(X290:Y290)=1,1+MAX($B$1:B289),"")</f>
        <v/>
      </c>
      <c r="C290" s="112" t="str">
        <f>IF(SUM(Q290:R290,X290:Y290)=2,1+MAX($C$1:C289),"")</f>
        <v/>
      </c>
      <c r="D290" s="113">
        <v>35968</v>
      </c>
      <c r="E290" s="112">
        <v>1998</v>
      </c>
      <c r="F290" s="112" t="s">
        <v>2656</v>
      </c>
      <c r="G290" s="112" t="s">
        <v>2657</v>
      </c>
      <c r="H290" s="114" t="s">
        <v>2545</v>
      </c>
      <c r="I290" s="112">
        <f t="shared" si="64"/>
        <v>1</v>
      </c>
      <c r="J290" s="112">
        <f t="shared" si="65"/>
        <v>2</v>
      </c>
      <c r="K290" s="115" t="s">
        <v>2711</v>
      </c>
      <c r="L290" s="115" t="s">
        <v>2863</v>
      </c>
      <c r="M290" s="115" t="s">
        <v>2866</v>
      </c>
      <c r="N290" s="115">
        <v>33500</v>
      </c>
      <c r="O290" s="112">
        <v>2</v>
      </c>
      <c r="P290" s="116" t="s">
        <v>2638</v>
      </c>
      <c r="Q290" s="112">
        <f t="shared" si="66"/>
        <v>1</v>
      </c>
      <c r="R290" s="112" t="str">
        <f t="shared" si="67"/>
        <v/>
      </c>
      <c r="S290" s="112">
        <f t="shared" si="70"/>
        <v>0</v>
      </c>
      <c r="T290" s="112">
        <f t="shared" si="71"/>
        <v>0</v>
      </c>
      <c r="U290" s="112">
        <f t="shared" si="72"/>
        <v>1</v>
      </c>
      <c r="V290" s="112">
        <f t="shared" si="73"/>
        <v>3</v>
      </c>
      <c r="W290" s="112">
        <f t="shared" si="74"/>
        <v>-1</v>
      </c>
      <c r="X290" s="112" t="str">
        <f t="shared" si="68"/>
        <v/>
      </c>
      <c r="Y290" s="112" t="str">
        <f t="shared" si="69"/>
        <v/>
      </c>
      <c r="Z290" s="112" t="str">
        <f t="shared" si="75"/>
        <v/>
      </c>
      <c r="AA290" s="112" t="str">
        <f t="shared" si="76"/>
        <v/>
      </c>
      <c r="AB290" s="112" t="str">
        <f t="shared" si="77"/>
        <v/>
      </c>
      <c r="AC290" s="112" t="str">
        <f t="shared" si="78"/>
        <v/>
      </c>
      <c r="AD290" s="112" t="str">
        <f t="shared" si="79"/>
        <v/>
      </c>
    </row>
    <row r="291" spans="1:30" x14ac:dyDescent="0.2">
      <c r="A291" s="112" t="str">
        <f>IF(SUM(Q291:R291)=1,1+MAX($A$1:A290),"")</f>
        <v/>
      </c>
      <c r="B291" s="112" t="str">
        <f>IF(SUM(X291:Y291)=1,1+MAX($B$1:B290),"")</f>
        <v/>
      </c>
      <c r="C291" s="112" t="str">
        <f>IF(SUM(Q291:R291,X291:Y291)=2,1+MAX($C$1:C290),"")</f>
        <v/>
      </c>
      <c r="D291" s="113">
        <v>35968</v>
      </c>
      <c r="E291" s="112">
        <v>1998</v>
      </c>
      <c r="F291" s="112" t="s">
        <v>2656</v>
      </c>
      <c r="G291" s="112" t="s">
        <v>2657</v>
      </c>
      <c r="H291" s="114" t="s">
        <v>1347</v>
      </c>
      <c r="I291" s="112">
        <f t="shared" si="64"/>
        <v>1</v>
      </c>
      <c r="J291" s="112">
        <f t="shared" si="65"/>
        <v>0</v>
      </c>
      <c r="K291" s="115" t="s">
        <v>2388</v>
      </c>
      <c r="L291" s="115" t="s">
        <v>2864</v>
      </c>
      <c r="M291" s="115" t="s">
        <v>2867</v>
      </c>
      <c r="N291" s="115">
        <v>29800</v>
      </c>
      <c r="O291" s="112">
        <v>2</v>
      </c>
      <c r="P291" s="116" t="s">
        <v>2622</v>
      </c>
      <c r="Q291" s="112" t="str">
        <f t="shared" si="66"/>
        <v/>
      </c>
      <c r="R291" s="112" t="str">
        <f t="shared" si="67"/>
        <v/>
      </c>
      <c r="S291" s="112" t="str">
        <f t="shared" si="70"/>
        <v/>
      </c>
      <c r="T291" s="112" t="str">
        <f t="shared" si="71"/>
        <v/>
      </c>
      <c r="U291" s="112" t="str">
        <f t="shared" si="72"/>
        <v/>
      </c>
      <c r="V291" s="112" t="str">
        <f t="shared" si="73"/>
        <v/>
      </c>
      <c r="W291" s="112" t="str">
        <f t="shared" si="74"/>
        <v/>
      </c>
      <c r="X291" s="112" t="str">
        <f t="shared" si="68"/>
        <v/>
      </c>
      <c r="Y291" s="112" t="str">
        <f t="shared" si="69"/>
        <v/>
      </c>
      <c r="Z291" s="112" t="str">
        <f t="shared" si="75"/>
        <v/>
      </c>
      <c r="AA291" s="112" t="str">
        <f t="shared" si="76"/>
        <v/>
      </c>
      <c r="AB291" s="112" t="str">
        <f t="shared" si="77"/>
        <v/>
      </c>
      <c r="AC291" s="112" t="str">
        <f t="shared" si="78"/>
        <v/>
      </c>
      <c r="AD291" s="112" t="str">
        <f t="shared" si="79"/>
        <v/>
      </c>
    </row>
    <row r="292" spans="1:30" x14ac:dyDescent="0.2">
      <c r="A292" s="112" t="str">
        <f>IF(SUM(Q292:R292)=1,1+MAX($A$1:A291),"")</f>
        <v/>
      </c>
      <c r="B292" s="112">
        <f>IF(SUM(X292:Y292)=1,1+MAX($B$1:B291),"")</f>
        <v>24</v>
      </c>
      <c r="C292" s="112" t="str">
        <f>IF(SUM(Q292:R292,X292:Y292)=2,1+MAX($C$1:C291),"")</f>
        <v/>
      </c>
      <c r="D292" s="113">
        <v>35967</v>
      </c>
      <c r="E292" s="112">
        <v>1998</v>
      </c>
      <c r="F292" s="112" t="s">
        <v>2652</v>
      </c>
      <c r="G292" s="112" t="s">
        <v>2653</v>
      </c>
      <c r="H292" s="114" t="s">
        <v>1134</v>
      </c>
      <c r="I292" s="112">
        <f t="shared" si="64"/>
        <v>5</v>
      </c>
      <c r="J292" s="112">
        <f t="shared" si="65"/>
        <v>0</v>
      </c>
      <c r="K292" s="115" t="s">
        <v>2732</v>
      </c>
      <c r="L292" s="115" t="s">
        <v>2851</v>
      </c>
      <c r="M292" s="115" t="s">
        <v>2856</v>
      </c>
      <c r="N292" s="115">
        <v>45000</v>
      </c>
      <c r="O292" s="112">
        <v>3</v>
      </c>
      <c r="P292" s="116" t="s">
        <v>2879</v>
      </c>
      <c r="Q292" s="112" t="str">
        <f t="shared" si="66"/>
        <v/>
      </c>
      <c r="R292" s="112" t="str">
        <f t="shared" si="67"/>
        <v/>
      </c>
      <c r="S292" s="112" t="str">
        <f t="shared" si="70"/>
        <v/>
      </c>
      <c r="T292" s="112" t="str">
        <f t="shared" si="71"/>
        <v/>
      </c>
      <c r="U292" s="112" t="str">
        <f t="shared" si="72"/>
        <v/>
      </c>
      <c r="V292" s="112" t="str">
        <f t="shared" si="73"/>
        <v/>
      </c>
      <c r="W292" s="112" t="str">
        <f t="shared" si="74"/>
        <v/>
      </c>
      <c r="X292" s="112">
        <f t="shared" si="68"/>
        <v>1</v>
      </c>
      <c r="Y292" s="112" t="str">
        <f t="shared" si="69"/>
        <v/>
      </c>
      <c r="Z292" s="112">
        <f t="shared" si="75"/>
        <v>1</v>
      </c>
      <c r="AA292" s="112">
        <f t="shared" si="76"/>
        <v>0</v>
      </c>
      <c r="AB292" s="112">
        <f t="shared" si="77"/>
        <v>0</v>
      </c>
      <c r="AC292" s="112">
        <f t="shared" si="78"/>
        <v>5</v>
      </c>
      <c r="AD292" s="112">
        <f t="shared" si="79"/>
        <v>5</v>
      </c>
    </row>
    <row r="293" spans="1:30" x14ac:dyDescent="0.2">
      <c r="A293" s="112" t="str">
        <f>IF(SUM(Q293:R293)=1,1+MAX($A$1:A292),"")</f>
        <v/>
      </c>
      <c r="B293" s="112" t="str">
        <f>IF(SUM(X293:Y293)=1,1+MAX($B$1:B292),"")</f>
        <v/>
      </c>
      <c r="C293" s="112" t="str">
        <f>IF(SUM(Q293:R293,X293:Y293)=2,1+MAX($C$1:C292),"")</f>
        <v/>
      </c>
      <c r="D293" s="113">
        <v>35967</v>
      </c>
      <c r="E293" s="112">
        <v>1998</v>
      </c>
      <c r="F293" s="112" t="s">
        <v>2661</v>
      </c>
      <c r="G293" s="112" t="s">
        <v>2662</v>
      </c>
      <c r="H293" s="114" t="s">
        <v>2553</v>
      </c>
      <c r="I293" s="112">
        <f t="shared" si="64"/>
        <v>2</v>
      </c>
      <c r="J293" s="112">
        <f t="shared" si="65"/>
        <v>1</v>
      </c>
      <c r="K293" s="115" t="s">
        <v>2614</v>
      </c>
      <c r="L293" s="115" t="s">
        <v>2855</v>
      </c>
      <c r="M293" s="115" t="s">
        <v>2805</v>
      </c>
      <c r="N293" s="115">
        <v>39100</v>
      </c>
      <c r="O293" s="112">
        <v>2</v>
      </c>
      <c r="P293" s="116" t="s">
        <v>2626</v>
      </c>
      <c r="Q293" s="112" t="str">
        <f t="shared" si="66"/>
        <v/>
      </c>
      <c r="R293" s="112" t="str">
        <f t="shared" si="67"/>
        <v/>
      </c>
      <c r="S293" s="112" t="str">
        <f t="shared" si="70"/>
        <v/>
      </c>
      <c r="T293" s="112" t="str">
        <f t="shared" si="71"/>
        <v/>
      </c>
      <c r="U293" s="112" t="str">
        <f t="shared" si="72"/>
        <v/>
      </c>
      <c r="V293" s="112" t="str">
        <f t="shared" si="73"/>
        <v/>
      </c>
      <c r="W293" s="112" t="str">
        <f t="shared" si="74"/>
        <v/>
      </c>
      <c r="X293" s="112" t="str">
        <f t="shared" si="68"/>
        <v/>
      </c>
      <c r="Y293" s="112" t="str">
        <f t="shared" si="69"/>
        <v/>
      </c>
      <c r="Z293" s="112" t="str">
        <f t="shared" si="75"/>
        <v/>
      </c>
      <c r="AA293" s="112" t="str">
        <f t="shared" si="76"/>
        <v/>
      </c>
      <c r="AB293" s="112" t="str">
        <f t="shared" si="77"/>
        <v/>
      </c>
      <c r="AC293" s="112" t="str">
        <f t="shared" si="78"/>
        <v/>
      </c>
      <c r="AD293" s="112" t="str">
        <f t="shared" si="79"/>
        <v/>
      </c>
    </row>
    <row r="294" spans="1:30" x14ac:dyDescent="0.2">
      <c r="A294" s="112" t="str">
        <f>IF(SUM(Q294:R294)=1,1+MAX($A$1:A293),"")</f>
        <v/>
      </c>
      <c r="B294" s="112" t="str">
        <f>IF(SUM(X294:Y294)=1,1+MAX($B$1:B293),"")</f>
        <v/>
      </c>
      <c r="C294" s="112" t="str">
        <f>IF(SUM(Q294:R294,X294:Y294)=2,1+MAX($C$1:C293),"")</f>
        <v/>
      </c>
      <c r="D294" s="113">
        <v>35967</v>
      </c>
      <c r="E294" s="112">
        <v>1998</v>
      </c>
      <c r="F294" s="112" t="s">
        <v>2661</v>
      </c>
      <c r="G294" s="112" t="s">
        <v>2662</v>
      </c>
      <c r="H294" s="114" t="s">
        <v>2547</v>
      </c>
      <c r="I294" s="112">
        <f t="shared" si="64"/>
        <v>2</v>
      </c>
      <c r="J294" s="112">
        <f t="shared" si="65"/>
        <v>2</v>
      </c>
      <c r="K294" s="115" t="s">
        <v>2862</v>
      </c>
      <c r="L294" s="115" t="s">
        <v>2865</v>
      </c>
      <c r="M294" s="115" t="s">
        <v>2803</v>
      </c>
      <c r="N294" s="115">
        <v>38100</v>
      </c>
      <c r="O294" s="112">
        <v>2</v>
      </c>
      <c r="P294" s="116" t="s">
        <v>2697</v>
      </c>
      <c r="Q294" s="112" t="str">
        <f t="shared" si="66"/>
        <v/>
      </c>
      <c r="R294" s="112" t="str">
        <f t="shared" si="67"/>
        <v/>
      </c>
      <c r="S294" s="112" t="str">
        <f t="shared" si="70"/>
        <v/>
      </c>
      <c r="T294" s="112" t="str">
        <f t="shared" si="71"/>
        <v/>
      </c>
      <c r="U294" s="112" t="str">
        <f t="shared" si="72"/>
        <v/>
      </c>
      <c r="V294" s="112" t="str">
        <f t="shared" si="73"/>
        <v/>
      </c>
      <c r="W294" s="112" t="str">
        <f t="shared" si="74"/>
        <v/>
      </c>
      <c r="X294" s="112" t="str">
        <f t="shared" si="68"/>
        <v/>
      </c>
      <c r="Y294" s="112" t="str">
        <f t="shared" si="69"/>
        <v/>
      </c>
      <c r="Z294" s="112" t="str">
        <f t="shared" si="75"/>
        <v/>
      </c>
      <c r="AA294" s="112" t="str">
        <f t="shared" si="76"/>
        <v/>
      </c>
      <c r="AB294" s="112" t="str">
        <f t="shared" si="77"/>
        <v/>
      </c>
      <c r="AC294" s="112" t="str">
        <f t="shared" si="78"/>
        <v/>
      </c>
      <c r="AD294" s="112" t="str">
        <f t="shared" si="79"/>
        <v/>
      </c>
    </row>
    <row r="295" spans="1:30" x14ac:dyDescent="0.2">
      <c r="A295" s="112" t="str">
        <f>IF(SUM(Q295:R295)=1,1+MAX($A$1:A294),"")</f>
        <v/>
      </c>
      <c r="B295" s="112" t="str">
        <f>IF(SUM(X295:Y295)=1,1+MAX($B$1:B294),"")</f>
        <v/>
      </c>
      <c r="C295" s="112" t="str">
        <f>IF(SUM(Q295:R295,X295:Y295)=2,1+MAX($C$1:C294),"")</f>
        <v/>
      </c>
      <c r="D295" s="113">
        <v>35966</v>
      </c>
      <c r="E295" s="112">
        <v>1998</v>
      </c>
      <c r="F295" s="112" t="s">
        <v>2652</v>
      </c>
      <c r="G295" s="112" t="s">
        <v>2653</v>
      </c>
      <c r="H295" s="114" t="s">
        <v>1024</v>
      </c>
      <c r="I295" s="112">
        <f t="shared" si="64"/>
        <v>1</v>
      </c>
      <c r="J295" s="112">
        <f t="shared" si="65"/>
        <v>0</v>
      </c>
      <c r="K295" s="115" t="s">
        <v>1395</v>
      </c>
      <c r="L295" s="115" t="s">
        <v>2858</v>
      </c>
      <c r="M295" s="115" t="s">
        <v>2880</v>
      </c>
      <c r="N295" s="115">
        <v>35500</v>
      </c>
      <c r="O295" s="112">
        <v>2</v>
      </c>
      <c r="P295" s="116" t="s">
        <v>2622</v>
      </c>
      <c r="Q295" s="112" t="str">
        <f t="shared" si="66"/>
        <v/>
      </c>
      <c r="R295" s="112" t="str">
        <f t="shared" si="67"/>
        <v/>
      </c>
      <c r="S295" s="112" t="str">
        <f t="shared" si="70"/>
        <v/>
      </c>
      <c r="T295" s="112" t="str">
        <f t="shared" si="71"/>
        <v/>
      </c>
      <c r="U295" s="112" t="str">
        <f t="shared" si="72"/>
        <v/>
      </c>
      <c r="V295" s="112" t="str">
        <f t="shared" si="73"/>
        <v/>
      </c>
      <c r="W295" s="112" t="str">
        <f t="shared" si="74"/>
        <v/>
      </c>
      <c r="X295" s="112" t="str">
        <f t="shared" si="68"/>
        <v/>
      </c>
      <c r="Y295" s="112" t="str">
        <f t="shared" si="69"/>
        <v/>
      </c>
      <c r="Z295" s="112" t="str">
        <f t="shared" si="75"/>
        <v/>
      </c>
      <c r="AA295" s="112" t="str">
        <f t="shared" si="76"/>
        <v/>
      </c>
      <c r="AB295" s="112" t="str">
        <f t="shared" si="77"/>
        <v/>
      </c>
      <c r="AC295" s="112" t="str">
        <f t="shared" si="78"/>
        <v/>
      </c>
      <c r="AD295" s="112" t="str">
        <f t="shared" si="79"/>
        <v/>
      </c>
    </row>
    <row r="296" spans="1:30" x14ac:dyDescent="0.2">
      <c r="A296" s="112" t="str">
        <f>IF(SUM(Q296:R296)=1,1+MAX($A$1:A295),"")</f>
        <v/>
      </c>
      <c r="B296" s="112" t="str">
        <f>IF(SUM(X296:Y296)=1,1+MAX($B$1:B295),"")</f>
        <v/>
      </c>
      <c r="C296" s="112" t="str">
        <f>IF(SUM(Q296:R296,X296:Y296)=2,1+MAX($C$1:C295),"")</f>
        <v/>
      </c>
      <c r="D296" s="113">
        <v>35966</v>
      </c>
      <c r="E296" s="112">
        <v>1998</v>
      </c>
      <c r="F296" s="112" t="s">
        <v>2666</v>
      </c>
      <c r="G296" s="112" t="s">
        <v>2667</v>
      </c>
      <c r="H296" s="114" t="s">
        <v>2604</v>
      </c>
      <c r="I296" s="112">
        <f t="shared" si="64"/>
        <v>5</v>
      </c>
      <c r="J296" s="112">
        <f t="shared" si="65"/>
        <v>0</v>
      </c>
      <c r="K296" s="115" t="s">
        <v>2543</v>
      </c>
      <c r="L296" s="115" t="s">
        <v>2854</v>
      </c>
      <c r="M296" s="115" t="s">
        <v>2881</v>
      </c>
      <c r="N296" s="115">
        <v>55000</v>
      </c>
      <c r="O296" s="112">
        <v>2</v>
      </c>
      <c r="P296" s="116" t="s">
        <v>2879</v>
      </c>
      <c r="Q296" s="112" t="str">
        <f t="shared" si="66"/>
        <v/>
      </c>
      <c r="R296" s="112" t="str">
        <f t="shared" si="67"/>
        <v/>
      </c>
      <c r="S296" s="112" t="str">
        <f t="shared" si="70"/>
        <v/>
      </c>
      <c r="T296" s="112" t="str">
        <f t="shared" si="71"/>
        <v/>
      </c>
      <c r="U296" s="112" t="str">
        <f t="shared" si="72"/>
        <v/>
      </c>
      <c r="V296" s="112" t="str">
        <f t="shared" si="73"/>
        <v/>
      </c>
      <c r="W296" s="112" t="str">
        <f t="shared" si="74"/>
        <v/>
      </c>
      <c r="X296" s="112" t="str">
        <f t="shared" si="68"/>
        <v/>
      </c>
      <c r="Y296" s="112" t="str">
        <f t="shared" si="69"/>
        <v/>
      </c>
      <c r="Z296" s="112" t="str">
        <f t="shared" si="75"/>
        <v/>
      </c>
      <c r="AA296" s="112" t="str">
        <f t="shared" si="76"/>
        <v/>
      </c>
      <c r="AB296" s="112" t="str">
        <f t="shared" si="77"/>
        <v/>
      </c>
      <c r="AC296" s="112" t="str">
        <f t="shared" si="78"/>
        <v/>
      </c>
      <c r="AD296" s="112" t="str">
        <f t="shared" si="79"/>
        <v/>
      </c>
    </row>
    <row r="297" spans="1:30" x14ac:dyDescent="0.2">
      <c r="A297" s="112" t="str">
        <f>IF(SUM(Q297:R297)=1,1+MAX($A$1:A296),"")</f>
        <v/>
      </c>
      <c r="B297" s="112" t="str">
        <f>IF(SUM(X297:Y297)=1,1+MAX($B$1:B296),"")</f>
        <v/>
      </c>
      <c r="C297" s="112" t="str">
        <f>IF(SUM(Q297:R297,X297:Y297)=2,1+MAX($C$1:C296),"")</f>
        <v/>
      </c>
      <c r="D297" s="113">
        <v>35966</v>
      </c>
      <c r="E297" s="112">
        <v>1998</v>
      </c>
      <c r="F297" s="112" t="s">
        <v>2666</v>
      </c>
      <c r="G297" s="112" t="s">
        <v>2667</v>
      </c>
      <c r="H297" s="114" t="s">
        <v>2554</v>
      </c>
      <c r="I297" s="112">
        <f t="shared" si="64"/>
        <v>2</v>
      </c>
      <c r="J297" s="112">
        <f t="shared" si="65"/>
        <v>2</v>
      </c>
      <c r="K297" s="115" t="s">
        <v>1061</v>
      </c>
      <c r="L297" s="115" t="s">
        <v>2860</v>
      </c>
      <c r="M297" s="115" t="s">
        <v>2810</v>
      </c>
      <c r="N297" s="115">
        <v>31800</v>
      </c>
      <c r="O297" s="112">
        <v>2</v>
      </c>
      <c r="P297" s="116" t="s">
        <v>2697</v>
      </c>
      <c r="Q297" s="112" t="str">
        <f t="shared" si="66"/>
        <v/>
      </c>
      <c r="R297" s="112" t="str">
        <f t="shared" si="67"/>
        <v/>
      </c>
      <c r="S297" s="112" t="str">
        <f t="shared" si="70"/>
        <v/>
      </c>
      <c r="T297" s="112" t="str">
        <f t="shared" si="71"/>
        <v/>
      </c>
      <c r="U297" s="112" t="str">
        <f t="shared" si="72"/>
        <v/>
      </c>
      <c r="V297" s="112" t="str">
        <f t="shared" si="73"/>
        <v/>
      </c>
      <c r="W297" s="112" t="str">
        <f t="shared" si="74"/>
        <v/>
      </c>
      <c r="X297" s="112" t="str">
        <f t="shared" si="68"/>
        <v/>
      </c>
      <c r="Y297" s="112" t="str">
        <f t="shared" si="69"/>
        <v/>
      </c>
      <c r="Z297" s="112" t="str">
        <f t="shared" si="75"/>
        <v/>
      </c>
      <c r="AA297" s="112" t="str">
        <f t="shared" si="76"/>
        <v/>
      </c>
      <c r="AB297" s="112" t="str">
        <f t="shared" si="77"/>
        <v/>
      </c>
      <c r="AC297" s="112" t="str">
        <f t="shared" si="78"/>
        <v/>
      </c>
      <c r="AD297" s="112" t="str">
        <f t="shared" si="79"/>
        <v/>
      </c>
    </row>
    <row r="298" spans="1:30" x14ac:dyDescent="0.2">
      <c r="A298" s="112" t="str">
        <f>IF(SUM(Q298:R298)=1,1+MAX($A$1:A297),"")</f>
        <v/>
      </c>
      <c r="B298" s="112" t="str">
        <f>IF(SUM(X298:Y298)=1,1+MAX($B$1:B297),"")</f>
        <v/>
      </c>
      <c r="C298" s="112" t="str">
        <f>IF(SUM(Q298:R298,X298:Y298)=2,1+MAX($C$1:C297),"")</f>
        <v/>
      </c>
      <c r="D298" s="113">
        <v>35965</v>
      </c>
      <c r="E298" s="112">
        <v>1998</v>
      </c>
      <c r="F298" s="112" t="s">
        <v>2672</v>
      </c>
      <c r="G298" s="112" t="s">
        <v>2673</v>
      </c>
      <c r="H298" s="114" t="s">
        <v>2709</v>
      </c>
      <c r="I298" s="112">
        <f t="shared" si="64"/>
        <v>0</v>
      </c>
      <c r="J298" s="112">
        <f t="shared" si="65"/>
        <v>0</v>
      </c>
      <c r="K298" s="115" t="s">
        <v>2557</v>
      </c>
      <c r="L298" s="115" t="s">
        <v>2859</v>
      </c>
      <c r="M298" s="115" t="s">
        <v>2882</v>
      </c>
      <c r="N298" s="115">
        <v>30600</v>
      </c>
      <c r="O298" s="112">
        <v>3</v>
      </c>
      <c r="P298" s="116" t="s">
        <v>2613</v>
      </c>
      <c r="Q298" s="112" t="str">
        <f t="shared" si="66"/>
        <v/>
      </c>
      <c r="R298" s="112" t="str">
        <f t="shared" si="67"/>
        <v/>
      </c>
      <c r="S298" s="112" t="str">
        <f t="shared" si="70"/>
        <v/>
      </c>
      <c r="T298" s="112" t="str">
        <f t="shared" si="71"/>
        <v/>
      </c>
      <c r="U298" s="112" t="str">
        <f t="shared" si="72"/>
        <v/>
      </c>
      <c r="V298" s="112" t="str">
        <f t="shared" si="73"/>
        <v/>
      </c>
      <c r="W298" s="112" t="str">
        <f t="shared" si="74"/>
        <v/>
      </c>
      <c r="X298" s="112" t="str">
        <f t="shared" si="68"/>
        <v/>
      </c>
      <c r="Y298" s="112" t="str">
        <f t="shared" si="69"/>
        <v/>
      </c>
      <c r="Z298" s="112" t="str">
        <f t="shared" si="75"/>
        <v/>
      </c>
      <c r="AA298" s="112" t="str">
        <f t="shared" si="76"/>
        <v/>
      </c>
      <c r="AB298" s="112" t="str">
        <f t="shared" si="77"/>
        <v/>
      </c>
      <c r="AC298" s="112" t="str">
        <f t="shared" si="78"/>
        <v/>
      </c>
      <c r="AD298" s="112" t="str">
        <f t="shared" si="79"/>
        <v/>
      </c>
    </row>
    <row r="299" spans="1:30" x14ac:dyDescent="0.2">
      <c r="A299" s="112" t="str">
        <f>IF(SUM(Q299:R299)=1,1+MAX($A$1:A298),"")</f>
        <v/>
      </c>
      <c r="B299" s="112" t="str">
        <f>IF(SUM(X299:Y299)=1,1+MAX($B$1:B298),"")</f>
        <v/>
      </c>
      <c r="C299" s="112" t="str">
        <f>IF(SUM(Q299:R299,X299:Y299)=2,1+MAX($C$1:C298),"")</f>
        <v/>
      </c>
      <c r="D299" s="113">
        <v>35965</v>
      </c>
      <c r="E299" s="112">
        <v>1998</v>
      </c>
      <c r="F299" s="112" t="s">
        <v>2672</v>
      </c>
      <c r="G299" s="112" t="s">
        <v>2673</v>
      </c>
      <c r="H299" s="114" t="s">
        <v>2631</v>
      </c>
      <c r="I299" s="112">
        <f t="shared" si="64"/>
        <v>0</v>
      </c>
      <c r="J299" s="112">
        <f t="shared" si="65"/>
        <v>1</v>
      </c>
      <c r="K299" s="115" t="s">
        <v>2542</v>
      </c>
      <c r="L299" s="115" t="s">
        <v>2851</v>
      </c>
      <c r="M299" s="115" t="s">
        <v>2883</v>
      </c>
      <c r="N299" s="115">
        <v>45500</v>
      </c>
      <c r="O299" s="112">
        <v>2</v>
      </c>
      <c r="P299" s="116" t="s">
        <v>2601</v>
      </c>
      <c r="Q299" s="112" t="str">
        <f t="shared" si="66"/>
        <v/>
      </c>
      <c r="R299" s="112" t="str">
        <f t="shared" si="67"/>
        <v/>
      </c>
      <c r="S299" s="112" t="str">
        <f t="shared" si="70"/>
        <v/>
      </c>
      <c r="T299" s="112" t="str">
        <f t="shared" si="71"/>
        <v/>
      </c>
      <c r="U299" s="112" t="str">
        <f t="shared" si="72"/>
        <v/>
      </c>
      <c r="V299" s="112" t="str">
        <f t="shared" si="73"/>
        <v/>
      </c>
      <c r="W299" s="112" t="str">
        <f t="shared" si="74"/>
        <v/>
      </c>
      <c r="X299" s="112" t="str">
        <f t="shared" si="68"/>
        <v/>
      </c>
      <c r="Y299" s="112" t="str">
        <f t="shared" si="69"/>
        <v/>
      </c>
      <c r="Z299" s="112" t="str">
        <f t="shared" si="75"/>
        <v/>
      </c>
      <c r="AA299" s="112" t="str">
        <f t="shared" si="76"/>
        <v/>
      </c>
      <c r="AB299" s="112" t="str">
        <f t="shared" si="77"/>
        <v/>
      </c>
      <c r="AC299" s="112" t="str">
        <f t="shared" si="78"/>
        <v/>
      </c>
      <c r="AD299" s="112" t="str">
        <f t="shared" si="79"/>
        <v/>
      </c>
    </row>
    <row r="300" spans="1:30" x14ac:dyDescent="0.2">
      <c r="A300" s="112" t="str">
        <f>IF(SUM(Q300:R300)=1,1+MAX($A$1:A299),"")</f>
        <v/>
      </c>
      <c r="B300" s="112" t="str">
        <f>IF(SUM(X300:Y300)=1,1+MAX($B$1:B299),"")</f>
        <v/>
      </c>
      <c r="C300" s="112" t="str">
        <f>IF(SUM(Q300:R300,X300:Y300)=2,1+MAX($C$1:C299),"")</f>
        <v/>
      </c>
      <c r="D300" s="113">
        <v>35964</v>
      </c>
      <c r="E300" s="112">
        <v>1998</v>
      </c>
      <c r="F300" s="112" t="s">
        <v>2677</v>
      </c>
      <c r="G300" s="112" t="s">
        <v>2678</v>
      </c>
      <c r="H300" s="114" t="s">
        <v>2541</v>
      </c>
      <c r="I300" s="112">
        <f t="shared" si="64"/>
        <v>4</v>
      </c>
      <c r="J300" s="112">
        <f t="shared" si="65"/>
        <v>0</v>
      </c>
      <c r="K300" s="115" t="s">
        <v>2559</v>
      </c>
      <c r="L300" s="115" t="s">
        <v>2849</v>
      </c>
      <c r="M300" s="115" t="s">
        <v>2857</v>
      </c>
      <c r="N300" s="115">
        <v>80000</v>
      </c>
      <c r="O300" s="112">
        <v>2</v>
      </c>
      <c r="P300" s="116" t="s">
        <v>2710</v>
      </c>
      <c r="Q300" s="112" t="str">
        <f t="shared" si="66"/>
        <v/>
      </c>
      <c r="R300" s="112" t="str">
        <f t="shared" si="67"/>
        <v/>
      </c>
      <c r="S300" s="112" t="str">
        <f t="shared" si="70"/>
        <v/>
      </c>
      <c r="T300" s="112" t="str">
        <f t="shared" si="71"/>
        <v/>
      </c>
      <c r="U300" s="112" t="str">
        <f t="shared" si="72"/>
        <v/>
      </c>
      <c r="V300" s="112" t="str">
        <f t="shared" si="73"/>
        <v/>
      </c>
      <c r="W300" s="112" t="str">
        <f t="shared" si="74"/>
        <v/>
      </c>
      <c r="X300" s="112" t="str">
        <f t="shared" si="68"/>
        <v/>
      </c>
      <c r="Y300" s="112" t="str">
        <f t="shared" si="69"/>
        <v/>
      </c>
      <c r="Z300" s="112" t="str">
        <f t="shared" si="75"/>
        <v/>
      </c>
      <c r="AA300" s="112" t="str">
        <f t="shared" si="76"/>
        <v/>
      </c>
      <c r="AB300" s="112" t="str">
        <f t="shared" si="77"/>
        <v/>
      </c>
      <c r="AC300" s="112" t="str">
        <f t="shared" si="78"/>
        <v/>
      </c>
      <c r="AD300" s="112" t="str">
        <f t="shared" si="79"/>
        <v/>
      </c>
    </row>
    <row r="301" spans="1:30" x14ac:dyDescent="0.2">
      <c r="A301" s="112" t="str">
        <f>IF(SUM(Q301:R301)=1,1+MAX($A$1:A300),"")</f>
        <v/>
      </c>
      <c r="B301" s="112" t="str">
        <f>IF(SUM(X301:Y301)=1,1+MAX($B$1:B300),"")</f>
        <v/>
      </c>
      <c r="C301" s="112" t="str">
        <f>IF(SUM(Q301:R301,X301:Y301)=2,1+MAX($C$1:C300),"")</f>
        <v/>
      </c>
      <c r="D301" s="113">
        <v>35964</v>
      </c>
      <c r="E301" s="112">
        <v>1998</v>
      </c>
      <c r="F301" s="112" t="s">
        <v>2677</v>
      </c>
      <c r="G301" s="112" t="s">
        <v>2678</v>
      </c>
      <c r="H301" s="114" t="s">
        <v>2548</v>
      </c>
      <c r="I301" s="112">
        <f t="shared" si="64"/>
        <v>1</v>
      </c>
      <c r="J301" s="112">
        <f t="shared" si="65"/>
        <v>1</v>
      </c>
      <c r="K301" s="115" t="s">
        <v>2692</v>
      </c>
      <c r="L301" s="115" t="s">
        <v>2863</v>
      </c>
      <c r="M301" s="115" t="s">
        <v>2884</v>
      </c>
      <c r="N301" s="115">
        <v>33300</v>
      </c>
      <c r="O301" s="112">
        <v>2</v>
      </c>
      <c r="P301" s="116" t="s">
        <v>2645</v>
      </c>
      <c r="Q301" s="112" t="str">
        <f t="shared" si="66"/>
        <v/>
      </c>
      <c r="R301" s="112" t="str">
        <f t="shared" si="67"/>
        <v/>
      </c>
      <c r="S301" s="112" t="str">
        <f t="shared" si="70"/>
        <v/>
      </c>
      <c r="T301" s="112" t="str">
        <f t="shared" si="71"/>
        <v/>
      </c>
      <c r="U301" s="112" t="str">
        <f t="shared" si="72"/>
        <v/>
      </c>
      <c r="V301" s="112" t="str">
        <f t="shared" si="73"/>
        <v/>
      </c>
      <c r="W301" s="112" t="str">
        <f t="shared" si="74"/>
        <v/>
      </c>
      <c r="X301" s="112" t="str">
        <f t="shared" si="68"/>
        <v/>
      </c>
      <c r="Y301" s="112" t="str">
        <f t="shared" si="69"/>
        <v/>
      </c>
      <c r="Z301" s="112" t="str">
        <f t="shared" si="75"/>
        <v/>
      </c>
      <c r="AA301" s="112" t="str">
        <f t="shared" si="76"/>
        <v/>
      </c>
      <c r="AB301" s="112" t="str">
        <f t="shared" si="77"/>
        <v/>
      </c>
      <c r="AC301" s="112" t="str">
        <f t="shared" si="78"/>
        <v/>
      </c>
      <c r="AD301" s="112" t="str">
        <f t="shared" si="79"/>
        <v/>
      </c>
    </row>
    <row r="302" spans="1:30" x14ac:dyDescent="0.2">
      <c r="A302" s="112" t="str">
        <f>IF(SUM(Q302:R302)=1,1+MAX($A$1:A301),"")</f>
        <v/>
      </c>
      <c r="B302" s="112" t="str">
        <f>IF(SUM(X302:Y302)=1,1+MAX($B$1:B301),"")</f>
        <v/>
      </c>
      <c r="C302" s="112" t="str">
        <f>IF(SUM(Q302:R302,X302:Y302)=2,1+MAX($C$1:C301),"")</f>
        <v/>
      </c>
      <c r="D302" s="113">
        <v>35963</v>
      </c>
      <c r="E302" s="112">
        <v>1998</v>
      </c>
      <c r="F302" s="112" t="s">
        <v>2684</v>
      </c>
      <c r="G302" s="112" t="s">
        <v>2685</v>
      </c>
      <c r="H302" s="114" t="s">
        <v>2693</v>
      </c>
      <c r="I302" s="112">
        <f t="shared" si="64"/>
        <v>0</v>
      </c>
      <c r="J302" s="112">
        <f t="shared" si="65"/>
        <v>3</v>
      </c>
      <c r="K302" s="115" t="s">
        <v>2674</v>
      </c>
      <c r="L302" s="115" t="s">
        <v>2864</v>
      </c>
      <c r="M302" s="115" t="s">
        <v>2869</v>
      </c>
      <c r="N302" s="115">
        <v>29800</v>
      </c>
      <c r="O302" s="112">
        <v>2</v>
      </c>
      <c r="P302" s="116" t="s">
        <v>2607</v>
      </c>
      <c r="Q302" s="112" t="str">
        <f t="shared" si="66"/>
        <v/>
      </c>
      <c r="R302" s="112" t="str">
        <f t="shared" si="67"/>
        <v/>
      </c>
      <c r="S302" s="112" t="str">
        <f t="shared" si="70"/>
        <v/>
      </c>
      <c r="T302" s="112" t="str">
        <f t="shared" si="71"/>
        <v/>
      </c>
      <c r="U302" s="112" t="str">
        <f t="shared" si="72"/>
        <v/>
      </c>
      <c r="V302" s="112" t="str">
        <f t="shared" si="73"/>
        <v/>
      </c>
      <c r="W302" s="112" t="str">
        <f t="shared" si="74"/>
        <v/>
      </c>
      <c r="X302" s="112" t="str">
        <f t="shared" si="68"/>
        <v/>
      </c>
      <c r="Y302" s="112" t="str">
        <f t="shared" si="69"/>
        <v/>
      </c>
      <c r="Z302" s="112" t="str">
        <f t="shared" si="75"/>
        <v/>
      </c>
      <c r="AA302" s="112" t="str">
        <f t="shared" si="76"/>
        <v/>
      </c>
      <c r="AB302" s="112" t="str">
        <f t="shared" si="77"/>
        <v/>
      </c>
      <c r="AC302" s="112" t="str">
        <f t="shared" si="78"/>
        <v/>
      </c>
      <c r="AD302" s="112" t="str">
        <f t="shared" si="79"/>
        <v/>
      </c>
    </row>
    <row r="303" spans="1:30" x14ac:dyDescent="0.2">
      <c r="A303" s="112" t="str">
        <f>IF(SUM(Q303:R303)=1,1+MAX($A$1:A302),"")</f>
        <v/>
      </c>
      <c r="B303" s="112" t="str">
        <f>IF(SUM(X303:Y303)=1,1+MAX($B$1:B302),"")</f>
        <v/>
      </c>
      <c r="C303" s="112" t="str">
        <f>IF(SUM(Q303:R303,X303:Y303)=2,1+MAX($C$1:C302),"")</f>
        <v/>
      </c>
      <c r="D303" s="113">
        <v>35963</v>
      </c>
      <c r="E303" s="112">
        <v>1998</v>
      </c>
      <c r="F303" s="112" t="s">
        <v>2684</v>
      </c>
      <c r="G303" s="112" t="s">
        <v>2685</v>
      </c>
      <c r="H303" s="114" t="s">
        <v>2623</v>
      </c>
      <c r="I303" s="112">
        <f t="shared" si="64"/>
        <v>1</v>
      </c>
      <c r="J303" s="112">
        <f t="shared" si="65"/>
        <v>1</v>
      </c>
      <c r="K303" s="115" t="s">
        <v>2650</v>
      </c>
      <c r="L303" s="115" t="s">
        <v>2859</v>
      </c>
      <c r="M303" s="115" t="s">
        <v>2808</v>
      </c>
      <c r="N303" s="115">
        <v>30600</v>
      </c>
      <c r="O303" s="112">
        <v>2</v>
      </c>
      <c r="P303" s="116" t="s">
        <v>2645</v>
      </c>
      <c r="Q303" s="112" t="str">
        <f t="shared" si="66"/>
        <v/>
      </c>
      <c r="R303" s="112" t="str">
        <f t="shared" si="67"/>
        <v/>
      </c>
      <c r="S303" s="112" t="str">
        <f t="shared" si="70"/>
        <v/>
      </c>
      <c r="T303" s="112" t="str">
        <f t="shared" si="71"/>
        <v/>
      </c>
      <c r="U303" s="112" t="str">
        <f t="shared" si="72"/>
        <v/>
      </c>
      <c r="V303" s="112" t="str">
        <f t="shared" si="73"/>
        <v/>
      </c>
      <c r="W303" s="112" t="str">
        <f t="shared" si="74"/>
        <v/>
      </c>
      <c r="X303" s="112" t="str">
        <f t="shared" si="68"/>
        <v/>
      </c>
      <c r="Y303" s="112" t="str">
        <f t="shared" si="69"/>
        <v/>
      </c>
      <c r="Z303" s="112" t="str">
        <f t="shared" si="75"/>
        <v/>
      </c>
      <c r="AA303" s="112" t="str">
        <f t="shared" si="76"/>
        <v/>
      </c>
      <c r="AB303" s="112" t="str">
        <f t="shared" si="77"/>
        <v/>
      </c>
      <c r="AC303" s="112" t="str">
        <f t="shared" si="78"/>
        <v/>
      </c>
      <c r="AD303" s="112" t="str">
        <f t="shared" si="79"/>
        <v/>
      </c>
    </row>
    <row r="304" spans="1:30" x14ac:dyDescent="0.2">
      <c r="A304" s="112" t="str">
        <f>IF(SUM(Q304:R304)=1,1+MAX($A$1:A303),"")</f>
        <v/>
      </c>
      <c r="B304" s="112" t="str">
        <f>IF(SUM(X304:Y304)=1,1+MAX($B$1:B303),"")</f>
        <v/>
      </c>
      <c r="C304" s="112" t="str">
        <f>IF(SUM(Q304:R304,X304:Y304)=2,1+MAX($C$1:C303),"")</f>
        <v/>
      </c>
      <c r="D304" s="113">
        <v>35962</v>
      </c>
      <c r="E304" s="112">
        <v>1998</v>
      </c>
      <c r="F304" s="112" t="s">
        <v>2689</v>
      </c>
      <c r="G304" s="112" t="s">
        <v>2690</v>
      </c>
      <c r="H304" s="114" t="s">
        <v>1442</v>
      </c>
      <c r="I304" s="112">
        <f t="shared" si="64"/>
        <v>3</v>
      </c>
      <c r="J304" s="112">
        <f t="shared" si="65"/>
        <v>0</v>
      </c>
      <c r="K304" s="115" t="s">
        <v>2555</v>
      </c>
      <c r="L304" s="115" t="s">
        <v>2858</v>
      </c>
      <c r="M304" s="115" t="s">
        <v>2885</v>
      </c>
      <c r="N304" s="115">
        <v>35500</v>
      </c>
      <c r="O304" s="112">
        <v>2</v>
      </c>
      <c r="P304" s="116" t="s">
        <v>2713</v>
      </c>
      <c r="Q304" s="112" t="str">
        <f t="shared" si="66"/>
        <v/>
      </c>
      <c r="R304" s="112" t="str">
        <f t="shared" si="67"/>
        <v/>
      </c>
      <c r="S304" s="112" t="str">
        <f t="shared" si="70"/>
        <v/>
      </c>
      <c r="T304" s="112" t="str">
        <f t="shared" si="71"/>
        <v/>
      </c>
      <c r="U304" s="112" t="str">
        <f t="shared" si="72"/>
        <v/>
      </c>
      <c r="V304" s="112" t="str">
        <f t="shared" si="73"/>
        <v/>
      </c>
      <c r="W304" s="112" t="str">
        <f t="shared" si="74"/>
        <v/>
      </c>
      <c r="X304" s="112" t="str">
        <f t="shared" si="68"/>
        <v/>
      </c>
      <c r="Y304" s="112" t="str">
        <f t="shared" si="69"/>
        <v/>
      </c>
      <c r="Z304" s="112" t="str">
        <f t="shared" si="75"/>
        <v/>
      </c>
      <c r="AA304" s="112" t="str">
        <f t="shared" si="76"/>
        <v/>
      </c>
      <c r="AB304" s="112" t="str">
        <f t="shared" si="77"/>
        <v/>
      </c>
      <c r="AC304" s="112" t="str">
        <f t="shared" si="78"/>
        <v/>
      </c>
      <c r="AD304" s="112" t="str">
        <f t="shared" si="79"/>
        <v/>
      </c>
    </row>
    <row r="305" spans="1:30" x14ac:dyDescent="0.2">
      <c r="A305" s="112" t="str">
        <f>IF(SUM(Q305:R305)=1,1+MAX($A$1:A304),"")</f>
        <v/>
      </c>
      <c r="B305" s="112" t="str">
        <f>IF(SUM(X305:Y305)=1,1+MAX($B$1:B304),"")</f>
        <v/>
      </c>
      <c r="C305" s="112" t="str">
        <f>IF(SUM(Q305:R305,X305:Y305)=2,1+MAX($C$1:C304),"")</f>
        <v/>
      </c>
      <c r="D305" s="113">
        <v>35962</v>
      </c>
      <c r="E305" s="112">
        <v>1998</v>
      </c>
      <c r="F305" s="112" t="s">
        <v>2689</v>
      </c>
      <c r="G305" s="112" t="s">
        <v>2690</v>
      </c>
      <c r="H305" s="114" t="s">
        <v>2707</v>
      </c>
      <c r="I305" s="112">
        <f t="shared" si="64"/>
        <v>1</v>
      </c>
      <c r="J305" s="112">
        <f t="shared" si="65"/>
        <v>1</v>
      </c>
      <c r="K305" s="115" t="s">
        <v>2717</v>
      </c>
      <c r="L305" s="115" t="s">
        <v>2860</v>
      </c>
      <c r="M305" s="115" t="s">
        <v>2876</v>
      </c>
      <c r="N305" s="115">
        <v>31800</v>
      </c>
      <c r="O305" s="112">
        <v>2</v>
      </c>
      <c r="P305" s="116" t="s">
        <v>2645</v>
      </c>
      <c r="Q305" s="112" t="str">
        <f t="shared" si="66"/>
        <v/>
      </c>
      <c r="R305" s="112" t="str">
        <f t="shared" si="67"/>
        <v/>
      </c>
      <c r="S305" s="112" t="str">
        <f t="shared" si="70"/>
        <v/>
      </c>
      <c r="T305" s="112" t="str">
        <f t="shared" si="71"/>
        <v/>
      </c>
      <c r="U305" s="112" t="str">
        <f t="shared" si="72"/>
        <v/>
      </c>
      <c r="V305" s="112" t="str">
        <f t="shared" si="73"/>
        <v/>
      </c>
      <c r="W305" s="112" t="str">
        <f t="shared" si="74"/>
        <v/>
      </c>
      <c r="X305" s="112" t="str">
        <f t="shared" si="68"/>
        <v/>
      </c>
      <c r="Y305" s="112" t="str">
        <f t="shared" si="69"/>
        <v/>
      </c>
      <c r="Z305" s="112" t="str">
        <f t="shared" si="75"/>
        <v/>
      </c>
      <c r="AA305" s="112" t="str">
        <f t="shared" si="76"/>
        <v/>
      </c>
      <c r="AB305" s="112" t="str">
        <f t="shared" si="77"/>
        <v/>
      </c>
      <c r="AC305" s="112" t="str">
        <f t="shared" si="78"/>
        <v/>
      </c>
      <c r="AD305" s="112" t="str">
        <f t="shared" si="79"/>
        <v/>
      </c>
    </row>
    <row r="306" spans="1:30" x14ac:dyDescent="0.2">
      <c r="A306" s="112" t="str">
        <f>IF(SUM(Q306:R306)=1,1+MAX($A$1:A305),"")</f>
        <v/>
      </c>
      <c r="B306" s="112" t="str">
        <f>IF(SUM(X306:Y306)=1,1+MAX($B$1:B305),"")</f>
        <v/>
      </c>
      <c r="C306" s="112" t="str">
        <f>IF(SUM(Q306:R306,X306:Y306)=2,1+MAX($C$1:C305),"")</f>
        <v/>
      </c>
      <c r="D306" s="113">
        <v>35961</v>
      </c>
      <c r="E306" s="112">
        <v>1998</v>
      </c>
      <c r="F306" s="112" t="s">
        <v>2656</v>
      </c>
      <c r="G306" s="112" t="s">
        <v>2657</v>
      </c>
      <c r="H306" s="114" t="s">
        <v>1347</v>
      </c>
      <c r="I306" s="112">
        <f t="shared" si="64"/>
        <v>0</v>
      </c>
      <c r="J306" s="112">
        <f t="shared" si="65"/>
        <v>1</v>
      </c>
      <c r="K306" s="115" t="s">
        <v>2711</v>
      </c>
      <c r="L306" s="115" t="s">
        <v>2855</v>
      </c>
      <c r="M306" s="115" t="s">
        <v>2886</v>
      </c>
      <c r="N306" s="115">
        <v>37572</v>
      </c>
      <c r="O306" s="112">
        <v>2</v>
      </c>
      <c r="P306" s="116" t="s">
        <v>2601</v>
      </c>
      <c r="Q306" s="112" t="str">
        <f t="shared" si="66"/>
        <v/>
      </c>
      <c r="R306" s="112" t="str">
        <f t="shared" si="67"/>
        <v/>
      </c>
      <c r="S306" s="112" t="str">
        <f t="shared" si="70"/>
        <v/>
      </c>
      <c r="T306" s="112" t="str">
        <f t="shared" si="71"/>
        <v/>
      </c>
      <c r="U306" s="112" t="str">
        <f t="shared" si="72"/>
        <v/>
      </c>
      <c r="V306" s="112" t="str">
        <f t="shared" si="73"/>
        <v/>
      </c>
      <c r="W306" s="112" t="str">
        <f t="shared" si="74"/>
        <v/>
      </c>
      <c r="X306" s="112" t="str">
        <f t="shared" si="68"/>
        <v/>
      </c>
      <c r="Y306" s="112" t="str">
        <f t="shared" si="69"/>
        <v/>
      </c>
      <c r="Z306" s="112" t="str">
        <f t="shared" si="75"/>
        <v/>
      </c>
      <c r="AA306" s="112" t="str">
        <f t="shared" si="76"/>
        <v/>
      </c>
      <c r="AB306" s="112" t="str">
        <f t="shared" si="77"/>
        <v/>
      </c>
      <c r="AC306" s="112" t="str">
        <f t="shared" si="78"/>
        <v/>
      </c>
      <c r="AD306" s="112" t="str">
        <f t="shared" si="79"/>
        <v/>
      </c>
    </row>
    <row r="307" spans="1:30" x14ac:dyDescent="0.2">
      <c r="A307" s="112">
        <f>IF(SUM(Q307:R307)=1,1+MAX($A$1:A306),"")</f>
        <v>21</v>
      </c>
      <c r="B307" s="112" t="str">
        <f>IF(SUM(X307:Y307)=1,1+MAX($B$1:B306),"")</f>
        <v/>
      </c>
      <c r="C307" s="112" t="str">
        <f>IF(SUM(Q307:R307,X307:Y307)=2,1+MAX($C$1:C306),"")</f>
        <v/>
      </c>
      <c r="D307" s="113">
        <v>35961</v>
      </c>
      <c r="E307" s="112">
        <v>1998</v>
      </c>
      <c r="F307" s="112" t="s">
        <v>2656</v>
      </c>
      <c r="G307" s="112" t="s">
        <v>2657</v>
      </c>
      <c r="H307" s="114" t="s">
        <v>2545</v>
      </c>
      <c r="I307" s="112">
        <f t="shared" si="64"/>
        <v>2</v>
      </c>
      <c r="J307" s="112">
        <f t="shared" si="65"/>
        <v>0</v>
      </c>
      <c r="K307" s="115" t="s">
        <v>2388</v>
      </c>
      <c r="L307" s="115" t="s">
        <v>2854</v>
      </c>
      <c r="M307" s="115" t="s">
        <v>2887</v>
      </c>
      <c r="N307" s="115">
        <v>54587</v>
      </c>
      <c r="O307" s="112">
        <v>2</v>
      </c>
      <c r="P307" s="116" t="s">
        <v>2641</v>
      </c>
      <c r="Q307" s="112">
        <f t="shared" si="66"/>
        <v>1</v>
      </c>
      <c r="R307" s="112" t="str">
        <f t="shared" si="67"/>
        <v/>
      </c>
      <c r="S307" s="112">
        <f t="shared" si="70"/>
        <v>1</v>
      </c>
      <c r="T307" s="112">
        <f t="shared" si="71"/>
        <v>0</v>
      </c>
      <c r="U307" s="112">
        <f t="shared" si="72"/>
        <v>0</v>
      </c>
      <c r="V307" s="112">
        <f t="shared" si="73"/>
        <v>2</v>
      </c>
      <c r="W307" s="112">
        <f t="shared" si="74"/>
        <v>2</v>
      </c>
      <c r="X307" s="112" t="str">
        <f t="shared" si="68"/>
        <v/>
      </c>
      <c r="Y307" s="112" t="str">
        <f t="shared" si="69"/>
        <v/>
      </c>
      <c r="Z307" s="112" t="str">
        <f t="shared" si="75"/>
        <v/>
      </c>
      <c r="AA307" s="112" t="str">
        <f t="shared" si="76"/>
        <v/>
      </c>
      <c r="AB307" s="112" t="str">
        <f t="shared" si="77"/>
        <v/>
      </c>
      <c r="AC307" s="112" t="str">
        <f t="shared" si="78"/>
        <v/>
      </c>
      <c r="AD307" s="112" t="str">
        <f t="shared" si="79"/>
        <v/>
      </c>
    </row>
    <row r="308" spans="1:30" x14ac:dyDescent="0.2">
      <c r="A308" s="112" t="str">
        <f>IF(SUM(Q308:R308)=1,1+MAX($A$1:A307),"")</f>
        <v/>
      </c>
      <c r="B308" s="112" t="str">
        <f>IF(SUM(X308:Y308)=1,1+MAX($B$1:B307),"")</f>
        <v/>
      </c>
      <c r="C308" s="112" t="str">
        <f>IF(SUM(Q308:R308,X308:Y308)=2,1+MAX($C$1:C307),"")</f>
        <v/>
      </c>
      <c r="D308" s="113">
        <v>35961</v>
      </c>
      <c r="E308" s="112">
        <v>1998</v>
      </c>
      <c r="F308" s="112" t="s">
        <v>2661</v>
      </c>
      <c r="G308" s="112" t="s">
        <v>2662</v>
      </c>
      <c r="H308" s="114" t="s">
        <v>2547</v>
      </c>
      <c r="I308" s="112">
        <f t="shared" si="64"/>
        <v>2</v>
      </c>
      <c r="J308" s="112">
        <f t="shared" si="65"/>
        <v>0</v>
      </c>
      <c r="K308" s="115" t="s">
        <v>2614</v>
      </c>
      <c r="L308" s="115" t="s">
        <v>2851</v>
      </c>
      <c r="M308" s="115" t="s">
        <v>2850</v>
      </c>
      <c r="N308" s="115">
        <v>43815</v>
      </c>
      <c r="O308" s="112">
        <v>2</v>
      </c>
      <c r="P308" s="116" t="s">
        <v>2641</v>
      </c>
      <c r="Q308" s="112" t="str">
        <f t="shared" si="66"/>
        <v/>
      </c>
      <c r="R308" s="112" t="str">
        <f t="shared" si="67"/>
        <v/>
      </c>
      <c r="S308" s="112" t="str">
        <f t="shared" si="70"/>
        <v/>
      </c>
      <c r="T308" s="112" t="str">
        <f t="shared" si="71"/>
        <v/>
      </c>
      <c r="U308" s="112" t="str">
        <f t="shared" si="72"/>
        <v/>
      </c>
      <c r="V308" s="112" t="str">
        <f t="shared" si="73"/>
        <v/>
      </c>
      <c r="W308" s="112" t="str">
        <f t="shared" si="74"/>
        <v/>
      </c>
      <c r="X308" s="112" t="str">
        <f t="shared" si="68"/>
        <v/>
      </c>
      <c r="Y308" s="112" t="str">
        <f t="shared" si="69"/>
        <v/>
      </c>
      <c r="Z308" s="112" t="str">
        <f t="shared" si="75"/>
        <v/>
      </c>
      <c r="AA308" s="112" t="str">
        <f t="shared" si="76"/>
        <v/>
      </c>
      <c r="AB308" s="112" t="str">
        <f t="shared" si="77"/>
        <v/>
      </c>
      <c r="AC308" s="112" t="str">
        <f t="shared" si="78"/>
        <v/>
      </c>
      <c r="AD308" s="112" t="str">
        <f t="shared" si="79"/>
        <v/>
      </c>
    </row>
    <row r="309" spans="1:30" x14ac:dyDescent="0.2">
      <c r="A309" s="112" t="str">
        <f>IF(SUM(Q309:R309)=1,1+MAX($A$1:A308),"")</f>
        <v/>
      </c>
      <c r="B309" s="112" t="str">
        <f>IF(SUM(X309:Y309)=1,1+MAX($B$1:B308),"")</f>
        <v/>
      </c>
      <c r="C309" s="112" t="str">
        <f>IF(SUM(Q309:R309,X309:Y309)=2,1+MAX($C$1:C308),"")</f>
        <v/>
      </c>
      <c r="D309" s="113">
        <v>35960</v>
      </c>
      <c r="E309" s="112">
        <v>1998</v>
      </c>
      <c r="F309" s="112" t="s">
        <v>2652</v>
      </c>
      <c r="G309" s="112" t="s">
        <v>2653</v>
      </c>
      <c r="H309" s="114" t="s">
        <v>1024</v>
      </c>
      <c r="I309" s="112">
        <f t="shared" si="64"/>
        <v>3</v>
      </c>
      <c r="J309" s="112">
        <f t="shared" si="65"/>
        <v>1</v>
      </c>
      <c r="K309" s="115" t="s">
        <v>2732</v>
      </c>
      <c r="L309" s="115" t="s">
        <v>2865</v>
      </c>
      <c r="M309" s="115" t="s">
        <v>2820</v>
      </c>
      <c r="N309" s="115">
        <v>38058</v>
      </c>
      <c r="O309" s="112">
        <v>3</v>
      </c>
      <c r="P309" s="116" t="s">
        <v>2663</v>
      </c>
      <c r="Q309" s="112" t="str">
        <f t="shared" si="66"/>
        <v/>
      </c>
      <c r="R309" s="112" t="str">
        <f t="shared" si="67"/>
        <v/>
      </c>
      <c r="S309" s="112" t="str">
        <f t="shared" si="70"/>
        <v/>
      </c>
      <c r="T309" s="112" t="str">
        <f t="shared" si="71"/>
        <v/>
      </c>
      <c r="U309" s="112" t="str">
        <f t="shared" si="72"/>
        <v/>
      </c>
      <c r="V309" s="112" t="str">
        <f t="shared" si="73"/>
        <v/>
      </c>
      <c r="W309" s="112" t="str">
        <f t="shared" si="74"/>
        <v/>
      </c>
      <c r="X309" s="112" t="str">
        <f t="shared" si="68"/>
        <v/>
      </c>
      <c r="Y309" s="112" t="str">
        <f t="shared" si="69"/>
        <v/>
      </c>
      <c r="Z309" s="112" t="str">
        <f t="shared" si="75"/>
        <v/>
      </c>
      <c r="AA309" s="112" t="str">
        <f t="shared" si="76"/>
        <v/>
      </c>
      <c r="AB309" s="112" t="str">
        <f t="shared" si="77"/>
        <v/>
      </c>
      <c r="AC309" s="112" t="str">
        <f t="shared" si="78"/>
        <v/>
      </c>
      <c r="AD309" s="112" t="str">
        <f t="shared" si="79"/>
        <v/>
      </c>
    </row>
    <row r="310" spans="1:30" x14ac:dyDescent="0.2">
      <c r="A310" s="112" t="str">
        <f>IF(SUM(Q310:R310)=1,1+MAX($A$1:A309),"")</f>
        <v/>
      </c>
      <c r="B310" s="112">
        <f>IF(SUM(X310:Y310)=1,1+MAX($B$1:B309),"")</f>
        <v>25</v>
      </c>
      <c r="C310" s="112" t="str">
        <f>IF(SUM(Q310:R310,X310:Y310)=2,1+MAX($C$1:C309),"")</f>
        <v/>
      </c>
      <c r="D310" s="113">
        <v>35960</v>
      </c>
      <c r="E310" s="112">
        <v>1998</v>
      </c>
      <c r="F310" s="112" t="s">
        <v>2652</v>
      </c>
      <c r="G310" s="112" t="s">
        <v>2653</v>
      </c>
      <c r="H310" s="114" t="s">
        <v>1134</v>
      </c>
      <c r="I310" s="112">
        <f t="shared" si="64"/>
        <v>1</v>
      </c>
      <c r="J310" s="112">
        <f t="shared" si="65"/>
        <v>0</v>
      </c>
      <c r="K310" s="115" t="s">
        <v>1395</v>
      </c>
      <c r="L310" s="115" t="s">
        <v>2863</v>
      </c>
      <c r="M310" s="115" t="s">
        <v>2872</v>
      </c>
      <c r="N310" s="115">
        <v>33400</v>
      </c>
      <c r="O310" s="112">
        <v>2</v>
      </c>
      <c r="P310" s="116" t="s">
        <v>2622</v>
      </c>
      <c r="Q310" s="112" t="str">
        <f t="shared" si="66"/>
        <v/>
      </c>
      <c r="R310" s="112" t="str">
        <f t="shared" si="67"/>
        <v/>
      </c>
      <c r="S310" s="112" t="str">
        <f t="shared" si="70"/>
        <v/>
      </c>
      <c r="T310" s="112" t="str">
        <f t="shared" si="71"/>
        <v/>
      </c>
      <c r="U310" s="112" t="str">
        <f t="shared" si="72"/>
        <v/>
      </c>
      <c r="V310" s="112" t="str">
        <f t="shared" si="73"/>
        <v/>
      </c>
      <c r="W310" s="112" t="str">
        <f t="shared" si="74"/>
        <v/>
      </c>
      <c r="X310" s="112">
        <f t="shared" si="68"/>
        <v>1</v>
      </c>
      <c r="Y310" s="112" t="str">
        <f t="shared" si="69"/>
        <v/>
      </c>
      <c r="Z310" s="112">
        <f t="shared" si="75"/>
        <v>1</v>
      </c>
      <c r="AA310" s="112">
        <f t="shared" si="76"/>
        <v>0</v>
      </c>
      <c r="AB310" s="112">
        <f t="shared" si="77"/>
        <v>0</v>
      </c>
      <c r="AC310" s="112">
        <f t="shared" si="78"/>
        <v>1</v>
      </c>
      <c r="AD310" s="112">
        <f t="shared" si="79"/>
        <v>1</v>
      </c>
    </row>
    <row r="311" spans="1:30" x14ac:dyDescent="0.2">
      <c r="A311" s="112" t="str">
        <f>IF(SUM(Q311:R311)=1,1+MAX($A$1:A310),"")</f>
        <v/>
      </c>
      <c r="B311" s="112" t="str">
        <f>IF(SUM(X311:Y311)=1,1+MAX($B$1:B310),"")</f>
        <v/>
      </c>
      <c r="C311" s="112" t="str">
        <f>IF(SUM(Q311:R311,X311:Y311)=2,1+MAX($C$1:C310),"")</f>
        <v/>
      </c>
      <c r="D311" s="113">
        <v>35960</v>
      </c>
      <c r="E311" s="112">
        <v>1998</v>
      </c>
      <c r="F311" s="112" t="s">
        <v>2661</v>
      </c>
      <c r="G311" s="112" t="s">
        <v>2662</v>
      </c>
      <c r="H311" s="114" t="s">
        <v>2553</v>
      </c>
      <c r="I311" s="112">
        <f t="shared" si="64"/>
        <v>0</v>
      </c>
      <c r="J311" s="112">
        <f t="shared" si="65"/>
        <v>1</v>
      </c>
      <c r="K311" s="115" t="s">
        <v>2862</v>
      </c>
      <c r="L311" s="115" t="s">
        <v>2859</v>
      </c>
      <c r="M311" s="115" t="s">
        <v>2888</v>
      </c>
      <c r="N311" s="115">
        <v>30392</v>
      </c>
      <c r="O311" s="112">
        <v>2</v>
      </c>
      <c r="P311" s="116" t="s">
        <v>2601</v>
      </c>
      <c r="Q311" s="112" t="str">
        <f t="shared" si="66"/>
        <v/>
      </c>
      <c r="R311" s="112" t="str">
        <f t="shared" si="67"/>
        <v/>
      </c>
      <c r="S311" s="112" t="str">
        <f t="shared" si="70"/>
        <v/>
      </c>
      <c r="T311" s="112" t="str">
        <f t="shared" si="71"/>
        <v/>
      </c>
      <c r="U311" s="112" t="str">
        <f t="shared" si="72"/>
        <v/>
      </c>
      <c r="V311" s="112" t="str">
        <f t="shared" si="73"/>
        <v/>
      </c>
      <c r="W311" s="112" t="str">
        <f t="shared" si="74"/>
        <v/>
      </c>
      <c r="X311" s="112" t="str">
        <f t="shared" si="68"/>
        <v/>
      </c>
      <c r="Y311" s="112" t="str">
        <f t="shared" si="69"/>
        <v/>
      </c>
      <c r="Z311" s="112" t="str">
        <f t="shared" si="75"/>
        <v/>
      </c>
      <c r="AA311" s="112" t="str">
        <f t="shared" si="76"/>
        <v/>
      </c>
      <c r="AB311" s="112" t="str">
        <f t="shared" si="77"/>
        <v/>
      </c>
      <c r="AC311" s="112" t="str">
        <f t="shared" si="78"/>
        <v/>
      </c>
      <c r="AD311" s="112" t="str">
        <f t="shared" si="79"/>
        <v/>
      </c>
    </row>
    <row r="312" spans="1:30" x14ac:dyDescent="0.2">
      <c r="A312" s="112" t="str">
        <f>IF(SUM(Q312:R312)=1,1+MAX($A$1:A311),"")</f>
        <v/>
      </c>
      <c r="B312" s="112" t="str">
        <f>IF(SUM(X312:Y312)=1,1+MAX($B$1:B311),"")</f>
        <v/>
      </c>
      <c r="C312" s="112" t="str">
        <f>IF(SUM(Q312:R312,X312:Y312)=2,1+MAX($C$1:C311),"")</f>
        <v/>
      </c>
      <c r="D312" s="113">
        <v>35959</v>
      </c>
      <c r="E312" s="112">
        <v>1998</v>
      </c>
      <c r="F312" s="112" t="s">
        <v>2666</v>
      </c>
      <c r="G312" s="112" t="s">
        <v>2667</v>
      </c>
      <c r="H312" s="114" t="s">
        <v>2554</v>
      </c>
      <c r="I312" s="112">
        <f t="shared" si="64"/>
        <v>0</v>
      </c>
      <c r="J312" s="112">
        <f t="shared" si="65"/>
        <v>0</v>
      </c>
      <c r="K312" s="115" t="s">
        <v>2604</v>
      </c>
      <c r="L312" s="115" t="s">
        <v>2849</v>
      </c>
      <c r="M312" s="115" t="s">
        <v>2798</v>
      </c>
      <c r="N312" s="115">
        <v>75000</v>
      </c>
      <c r="O312" s="112">
        <v>2</v>
      </c>
      <c r="P312" s="116" t="s">
        <v>2613</v>
      </c>
      <c r="Q312" s="112" t="str">
        <f t="shared" si="66"/>
        <v/>
      </c>
      <c r="R312" s="112" t="str">
        <f t="shared" si="67"/>
        <v/>
      </c>
      <c r="S312" s="112" t="str">
        <f t="shared" si="70"/>
        <v/>
      </c>
      <c r="T312" s="112" t="str">
        <f t="shared" si="71"/>
        <v/>
      </c>
      <c r="U312" s="112" t="str">
        <f t="shared" si="72"/>
        <v/>
      </c>
      <c r="V312" s="112" t="str">
        <f t="shared" si="73"/>
        <v/>
      </c>
      <c r="W312" s="112" t="str">
        <f t="shared" si="74"/>
        <v/>
      </c>
      <c r="X312" s="112" t="str">
        <f t="shared" si="68"/>
        <v/>
      </c>
      <c r="Y312" s="112" t="str">
        <f t="shared" si="69"/>
        <v/>
      </c>
      <c r="Z312" s="112" t="str">
        <f t="shared" si="75"/>
        <v/>
      </c>
      <c r="AA312" s="112" t="str">
        <f t="shared" si="76"/>
        <v/>
      </c>
      <c r="AB312" s="112" t="str">
        <f t="shared" si="77"/>
        <v/>
      </c>
      <c r="AC312" s="112" t="str">
        <f t="shared" si="78"/>
        <v/>
      </c>
      <c r="AD312" s="112" t="str">
        <f t="shared" si="79"/>
        <v/>
      </c>
    </row>
    <row r="313" spans="1:30" x14ac:dyDescent="0.2">
      <c r="A313" s="112" t="str">
        <f>IF(SUM(Q313:R313)=1,1+MAX($A$1:A312),"")</f>
        <v/>
      </c>
      <c r="B313" s="112" t="str">
        <f>IF(SUM(X313:Y313)=1,1+MAX($B$1:B312),"")</f>
        <v/>
      </c>
      <c r="C313" s="112" t="str">
        <f>IF(SUM(Q313:R313,X313:Y313)=2,1+MAX($C$1:C312),"")</f>
        <v/>
      </c>
      <c r="D313" s="113">
        <v>35959</v>
      </c>
      <c r="E313" s="112">
        <v>1998</v>
      </c>
      <c r="F313" s="112" t="s">
        <v>2666</v>
      </c>
      <c r="G313" s="112" t="s">
        <v>2667</v>
      </c>
      <c r="H313" s="114" t="s">
        <v>1061</v>
      </c>
      <c r="I313" s="112">
        <f t="shared" si="64"/>
        <v>3</v>
      </c>
      <c r="J313" s="112">
        <f t="shared" si="65"/>
        <v>1</v>
      </c>
      <c r="K313" s="115" t="s">
        <v>2543</v>
      </c>
      <c r="L313" s="115" t="s">
        <v>2855</v>
      </c>
      <c r="M313" s="115" t="s">
        <v>2868</v>
      </c>
      <c r="N313" s="115">
        <v>39100</v>
      </c>
      <c r="O313" s="112">
        <v>2</v>
      </c>
      <c r="P313" s="116" t="s">
        <v>2663</v>
      </c>
      <c r="Q313" s="112" t="str">
        <f t="shared" si="66"/>
        <v/>
      </c>
      <c r="R313" s="112" t="str">
        <f t="shared" si="67"/>
        <v/>
      </c>
      <c r="S313" s="112" t="str">
        <f t="shared" si="70"/>
        <v/>
      </c>
      <c r="T313" s="112" t="str">
        <f t="shared" si="71"/>
        <v/>
      </c>
      <c r="U313" s="112" t="str">
        <f t="shared" si="72"/>
        <v/>
      </c>
      <c r="V313" s="112" t="str">
        <f t="shared" si="73"/>
        <v/>
      </c>
      <c r="W313" s="112" t="str">
        <f t="shared" si="74"/>
        <v/>
      </c>
      <c r="X313" s="112" t="str">
        <f t="shared" si="68"/>
        <v/>
      </c>
      <c r="Y313" s="112" t="str">
        <f t="shared" si="69"/>
        <v/>
      </c>
      <c r="Z313" s="112" t="str">
        <f t="shared" si="75"/>
        <v/>
      </c>
      <c r="AA313" s="112" t="str">
        <f t="shared" si="76"/>
        <v/>
      </c>
      <c r="AB313" s="112" t="str">
        <f t="shared" si="77"/>
        <v/>
      </c>
      <c r="AC313" s="112" t="str">
        <f t="shared" si="78"/>
        <v/>
      </c>
      <c r="AD313" s="112" t="str">
        <f t="shared" si="79"/>
        <v/>
      </c>
    </row>
    <row r="314" spans="1:30" x14ac:dyDescent="0.2">
      <c r="A314" s="112" t="str">
        <f>IF(SUM(Q314:R314)=1,1+MAX($A$1:A313),"")</f>
        <v/>
      </c>
      <c r="B314" s="112" t="str">
        <f>IF(SUM(X314:Y314)=1,1+MAX($B$1:B313),"")</f>
        <v/>
      </c>
      <c r="C314" s="112" t="str">
        <f>IF(SUM(Q314:R314,X314:Y314)=2,1+MAX($C$1:C313),"")</f>
        <v/>
      </c>
      <c r="D314" s="113">
        <v>35959</v>
      </c>
      <c r="E314" s="112">
        <v>1998</v>
      </c>
      <c r="F314" s="112" t="s">
        <v>2672</v>
      </c>
      <c r="G314" s="112" t="s">
        <v>2673</v>
      </c>
      <c r="H314" s="114" t="s">
        <v>2542</v>
      </c>
      <c r="I314" s="112">
        <f t="shared" si="64"/>
        <v>3</v>
      </c>
      <c r="J314" s="112">
        <f t="shared" si="65"/>
        <v>2</v>
      </c>
      <c r="K314" s="115" t="s">
        <v>2557</v>
      </c>
      <c r="L314" s="115" t="s">
        <v>2858</v>
      </c>
      <c r="M314" s="115" t="s">
        <v>2878</v>
      </c>
      <c r="N314" s="115">
        <v>33257</v>
      </c>
      <c r="O314" s="112">
        <v>2</v>
      </c>
      <c r="P314" s="116" t="s">
        <v>2664</v>
      </c>
      <c r="Q314" s="112" t="str">
        <f t="shared" si="66"/>
        <v/>
      </c>
      <c r="R314" s="112" t="str">
        <f t="shared" si="67"/>
        <v/>
      </c>
      <c r="S314" s="112" t="str">
        <f t="shared" si="70"/>
        <v/>
      </c>
      <c r="T314" s="112" t="str">
        <f t="shared" si="71"/>
        <v/>
      </c>
      <c r="U314" s="112" t="str">
        <f t="shared" si="72"/>
        <v/>
      </c>
      <c r="V314" s="112" t="str">
        <f t="shared" si="73"/>
        <v/>
      </c>
      <c r="W314" s="112" t="str">
        <f t="shared" si="74"/>
        <v/>
      </c>
      <c r="X314" s="112" t="str">
        <f t="shared" si="68"/>
        <v/>
      </c>
      <c r="Y314" s="112" t="str">
        <f t="shared" si="69"/>
        <v/>
      </c>
      <c r="Z314" s="112" t="str">
        <f t="shared" si="75"/>
        <v/>
      </c>
      <c r="AA314" s="112" t="str">
        <f t="shared" si="76"/>
        <v/>
      </c>
      <c r="AB314" s="112" t="str">
        <f t="shared" si="77"/>
        <v/>
      </c>
      <c r="AC314" s="112" t="str">
        <f t="shared" si="78"/>
        <v/>
      </c>
      <c r="AD314" s="112" t="str">
        <f t="shared" si="79"/>
        <v/>
      </c>
    </row>
    <row r="315" spans="1:30" x14ac:dyDescent="0.2">
      <c r="A315" s="112" t="str">
        <f>IF(SUM(Q315:R315)=1,1+MAX($A$1:A314),"")</f>
        <v/>
      </c>
      <c r="B315" s="112" t="str">
        <f>IF(SUM(X315:Y315)=1,1+MAX($B$1:B314),"")</f>
        <v/>
      </c>
      <c r="C315" s="112" t="str">
        <f>IF(SUM(Q315:R315,X315:Y315)=2,1+MAX($C$1:C314),"")</f>
        <v/>
      </c>
      <c r="D315" s="113">
        <v>35958</v>
      </c>
      <c r="E315" s="112">
        <v>1998</v>
      </c>
      <c r="F315" s="112" t="s">
        <v>2672</v>
      </c>
      <c r="G315" s="112" t="s">
        <v>2673</v>
      </c>
      <c r="H315" s="114" t="s">
        <v>2631</v>
      </c>
      <c r="I315" s="112">
        <f t="shared" si="64"/>
        <v>0</v>
      </c>
      <c r="J315" s="112">
        <f t="shared" si="65"/>
        <v>0</v>
      </c>
      <c r="K315" s="115" t="s">
        <v>2709</v>
      </c>
      <c r="L315" s="115" t="s">
        <v>2864</v>
      </c>
      <c r="M315" s="115" t="s">
        <v>2871</v>
      </c>
      <c r="N315" s="115">
        <v>27650</v>
      </c>
      <c r="O315" s="112">
        <v>3</v>
      </c>
      <c r="P315" s="116" t="s">
        <v>2613</v>
      </c>
      <c r="Q315" s="112" t="str">
        <f t="shared" si="66"/>
        <v/>
      </c>
      <c r="R315" s="112" t="str">
        <f t="shared" si="67"/>
        <v/>
      </c>
      <c r="S315" s="112" t="str">
        <f t="shared" si="70"/>
        <v/>
      </c>
      <c r="T315" s="112" t="str">
        <f t="shared" si="71"/>
        <v/>
      </c>
      <c r="U315" s="112" t="str">
        <f t="shared" si="72"/>
        <v/>
      </c>
      <c r="V315" s="112" t="str">
        <f t="shared" si="73"/>
        <v/>
      </c>
      <c r="W315" s="112" t="str">
        <f t="shared" si="74"/>
        <v/>
      </c>
      <c r="X315" s="112" t="str">
        <f t="shared" si="68"/>
        <v/>
      </c>
      <c r="Y315" s="112" t="str">
        <f t="shared" si="69"/>
        <v/>
      </c>
      <c r="Z315" s="112" t="str">
        <f t="shared" si="75"/>
        <v/>
      </c>
      <c r="AA315" s="112" t="str">
        <f t="shared" si="76"/>
        <v/>
      </c>
      <c r="AB315" s="112" t="str">
        <f t="shared" si="77"/>
        <v/>
      </c>
      <c r="AC315" s="112" t="str">
        <f t="shared" si="78"/>
        <v/>
      </c>
      <c r="AD315" s="112" t="str">
        <f t="shared" si="79"/>
        <v/>
      </c>
    </row>
    <row r="316" spans="1:30" x14ac:dyDescent="0.2">
      <c r="A316" s="112" t="str">
        <f>IF(SUM(Q316:R316)=1,1+MAX($A$1:A315),"")</f>
        <v/>
      </c>
      <c r="B316" s="112" t="str">
        <f>IF(SUM(X316:Y316)=1,1+MAX($B$1:B315),"")</f>
        <v/>
      </c>
      <c r="C316" s="112" t="str">
        <f>IF(SUM(Q316:R316,X316:Y316)=2,1+MAX($C$1:C315),"")</f>
        <v/>
      </c>
      <c r="D316" s="113">
        <v>35958</v>
      </c>
      <c r="E316" s="112">
        <v>1998</v>
      </c>
      <c r="F316" s="112" t="s">
        <v>2677</v>
      </c>
      <c r="G316" s="112" t="s">
        <v>2678</v>
      </c>
      <c r="H316" s="114" t="s">
        <v>2541</v>
      </c>
      <c r="I316" s="112">
        <f t="shared" si="64"/>
        <v>3</v>
      </c>
      <c r="J316" s="112">
        <f t="shared" si="65"/>
        <v>0</v>
      </c>
      <c r="K316" s="115" t="s">
        <v>2692</v>
      </c>
      <c r="L316" s="115" t="s">
        <v>2854</v>
      </c>
      <c r="M316" s="115" t="s">
        <v>2870</v>
      </c>
      <c r="N316" s="115">
        <v>55000</v>
      </c>
      <c r="O316" s="112">
        <v>2</v>
      </c>
      <c r="P316" s="116" t="s">
        <v>2713</v>
      </c>
      <c r="Q316" s="112" t="str">
        <f t="shared" si="66"/>
        <v/>
      </c>
      <c r="R316" s="112" t="str">
        <f t="shared" si="67"/>
        <v/>
      </c>
      <c r="S316" s="112" t="str">
        <f t="shared" si="70"/>
        <v/>
      </c>
      <c r="T316" s="112" t="str">
        <f t="shared" si="71"/>
        <v/>
      </c>
      <c r="U316" s="112" t="str">
        <f t="shared" si="72"/>
        <v/>
      </c>
      <c r="V316" s="112" t="str">
        <f t="shared" si="73"/>
        <v/>
      </c>
      <c r="W316" s="112" t="str">
        <f t="shared" si="74"/>
        <v/>
      </c>
      <c r="X316" s="112" t="str">
        <f t="shared" si="68"/>
        <v/>
      </c>
      <c r="Y316" s="112" t="str">
        <f t="shared" si="69"/>
        <v/>
      </c>
      <c r="Z316" s="112" t="str">
        <f t="shared" si="75"/>
        <v/>
      </c>
      <c r="AA316" s="112" t="str">
        <f t="shared" si="76"/>
        <v/>
      </c>
      <c r="AB316" s="112" t="str">
        <f t="shared" si="77"/>
        <v/>
      </c>
      <c r="AC316" s="112" t="str">
        <f t="shared" si="78"/>
        <v/>
      </c>
      <c r="AD316" s="112" t="str">
        <f t="shared" si="79"/>
        <v/>
      </c>
    </row>
    <row r="317" spans="1:30" x14ac:dyDescent="0.2">
      <c r="A317" s="112" t="str">
        <f>IF(SUM(Q317:R317)=1,1+MAX($A$1:A316),"")</f>
        <v/>
      </c>
      <c r="B317" s="112" t="str">
        <f>IF(SUM(X317:Y317)=1,1+MAX($B$1:B316),"")</f>
        <v/>
      </c>
      <c r="C317" s="112" t="str">
        <f>IF(SUM(Q317:R317,X317:Y317)=2,1+MAX($C$1:C316),"")</f>
        <v/>
      </c>
      <c r="D317" s="113">
        <v>35958</v>
      </c>
      <c r="E317" s="112">
        <v>1998</v>
      </c>
      <c r="F317" s="112" t="s">
        <v>2677</v>
      </c>
      <c r="G317" s="112" t="s">
        <v>2678</v>
      </c>
      <c r="H317" s="114" t="s">
        <v>2548</v>
      </c>
      <c r="I317" s="112">
        <f t="shared" si="64"/>
        <v>1</v>
      </c>
      <c r="J317" s="112">
        <f t="shared" si="65"/>
        <v>0</v>
      </c>
      <c r="K317" s="115" t="s">
        <v>2559</v>
      </c>
      <c r="L317" s="115" t="s">
        <v>2865</v>
      </c>
      <c r="M317" s="115" t="s">
        <v>2861</v>
      </c>
      <c r="N317" s="115">
        <v>38140</v>
      </c>
      <c r="O317" s="112">
        <v>2</v>
      </c>
      <c r="P317" s="116" t="s">
        <v>2622</v>
      </c>
      <c r="Q317" s="112" t="str">
        <f t="shared" si="66"/>
        <v/>
      </c>
      <c r="R317" s="112" t="str">
        <f t="shared" si="67"/>
        <v/>
      </c>
      <c r="S317" s="112" t="str">
        <f t="shared" si="70"/>
        <v/>
      </c>
      <c r="T317" s="112" t="str">
        <f t="shared" si="71"/>
        <v/>
      </c>
      <c r="U317" s="112" t="str">
        <f t="shared" si="72"/>
        <v/>
      </c>
      <c r="V317" s="112" t="str">
        <f t="shared" si="73"/>
        <v/>
      </c>
      <c r="W317" s="112" t="str">
        <f t="shared" si="74"/>
        <v/>
      </c>
      <c r="X317" s="112" t="str">
        <f t="shared" si="68"/>
        <v/>
      </c>
      <c r="Y317" s="112" t="str">
        <f t="shared" si="69"/>
        <v/>
      </c>
      <c r="Z317" s="112" t="str">
        <f t="shared" si="75"/>
        <v/>
      </c>
      <c r="AA317" s="112" t="str">
        <f t="shared" si="76"/>
        <v/>
      </c>
      <c r="AB317" s="112" t="str">
        <f t="shared" si="77"/>
        <v/>
      </c>
      <c r="AC317" s="112" t="str">
        <f t="shared" si="78"/>
        <v/>
      </c>
      <c r="AD317" s="112" t="str">
        <f t="shared" si="79"/>
        <v/>
      </c>
    </row>
    <row r="318" spans="1:30" x14ac:dyDescent="0.2">
      <c r="A318" s="112" t="str">
        <f>IF(SUM(Q318:R318)=1,1+MAX($A$1:A317),"")</f>
        <v/>
      </c>
      <c r="B318" s="112" t="str">
        <f>IF(SUM(X318:Y318)=1,1+MAX($B$1:B317),"")</f>
        <v/>
      </c>
      <c r="C318" s="112" t="str">
        <f>IF(SUM(Q318:R318,X318:Y318)=2,1+MAX($C$1:C317),"")</f>
        <v/>
      </c>
      <c r="D318" s="113">
        <v>35957</v>
      </c>
      <c r="E318" s="112">
        <v>1998</v>
      </c>
      <c r="F318" s="112" t="s">
        <v>2684</v>
      </c>
      <c r="G318" s="112" t="s">
        <v>2685</v>
      </c>
      <c r="H318" s="114" t="s">
        <v>2623</v>
      </c>
      <c r="I318" s="112">
        <f t="shared" si="64"/>
        <v>1</v>
      </c>
      <c r="J318" s="112">
        <f t="shared" si="65"/>
        <v>1</v>
      </c>
      <c r="K318" s="115" t="s">
        <v>2693</v>
      </c>
      <c r="L318" s="115" t="s">
        <v>2863</v>
      </c>
      <c r="M318" s="115" t="s">
        <v>2852</v>
      </c>
      <c r="N318" s="115">
        <v>33460</v>
      </c>
      <c r="O318" s="112">
        <v>2</v>
      </c>
      <c r="P318" s="116" t="s">
        <v>2645</v>
      </c>
      <c r="Q318" s="112" t="str">
        <f t="shared" si="66"/>
        <v/>
      </c>
      <c r="R318" s="112" t="str">
        <f t="shared" si="67"/>
        <v/>
      </c>
      <c r="S318" s="112" t="str">
        <f t="shared" si="70"/>
        <v/>
      </c>
      <c r="T318" s="112" t="str">
        <f t="shared" si="71"/>
        <v/>
      </c>
      <c r="U318" s="112" t="str">
        <f t="shared" si="72"/>
        <v/>
      </c>
      <c r="V318" s="112" t="str">
        <f t="shared" si="73"/>
        <v/>
      </c>
      <c r="W318" s="112" t="str">
        <f t="shared" si="74"/>
        <v/>
      </c>
      <c r="X318" s="112" t="str">
        <f t="shared" si="68"/>
        <v/>
      </c>
      <c r="Y318" s="112" t="str">
        <f t="shared" si="69"/>
        <v/>
      </c>
      <c r="Z318" s="112" t="str">
        <f t="shared" si="75"/>
        <v/>
      </c>
      <c r="AA318" s="112" t="str">
        <f t="shared" si="76"/>
        <v/>
      </c>
      <c r="AB318" s="112" t="str">
        <f t="shared" si="77"/>
        <v/>
      </c>
      <c r="AC318" s="112" t="str">
        <f t="shared" si="78"/>
        <v/>
      </c>
      <c r="AD318" s="112" t="str">
        <f t="shared" si="79"/>
        <v/>
      </c>
    </row>
    <row r="319" spans="1:30" x14ac:dyDescent="0.2">
      <c r="A319" s="112" t="str">
        <f>IF(SUM(Q319:R319)=1,1+MAX($A$1:A318),"")</f>
        <v/>
      </c>
      <c r="B319" s="112" t="str">
        <f>IF(SUM(X319:Y319)=1,1+MAX($B$1:B318),"")</f>
        <v/>
      </c>
      <c r="C319" s="112" t="str">
        <f>IF(SUM(Q319:R319,X319:Y319)=2,1+MAX($C$1:C318),"")</f>
        <v/>
      </c>
      <c r="D319" s="113">
        <v>35957</v>
      </c>
      <c r="E319" s="112">
        <v>1998</v>
      </c>
      <c r="F319" s="112" t="s">
        <v>2684</v>
      </c>
      <c r="G319" s="112" t="s">
        <v>2685</v>
      </c>
      <c r="H319" s="114" t="s">
        <v>2650</v>
      </c>
      <c r="I319" s="112">
        <f t="shared" si="64"/>
        <v>2</v>
      </c>
      <c r="J319" s="112">
        <f t="shared" si="65"/>
        <v>2</v>
      </c>
      <c r="K319" s="115" t="s">
        <v>2674</v>
      </c>
      <c r="L319" s="115" t="s">
        <v>2860</v>
      </c>
      <c r="M319" s="115" t="s">
        <v>2889</v>
      </c>
      <c r="N319" s="115">
        <v>31800</v>
      </c>
      <c r="O319" s="112">
        <v>2</v>
      </c>
      <c r="P319" s="116" t="s">
        <v>2697</v>
      </c>
      <c r="Q319" s="112" t="str">
        <f t="shared" si="66"/>
        <v/>
      </c>
      <c r="R319" s="112" t="str">
        <f t="shared" si="67"/>
        <v/>
      </c>
      <c r="S319" s="112" t="str">
        <f t="shared" si="70"/>
        <v/>
      </c>
      <c r="T319" s="112" t="str">
        <f t="shared" si="71"/>
        <v/>
      </c>
      <c r="U319" s="112" t="str">
        <f t="shared" si="72"/>
        <v/>
      </c>
      <c r="V319" s="112" t="str">
        <f t="shared" si="73"/>
        <v/>
      </c>
      <c r="W319" s="112" t="str">
        <f t="shared" si="74"/>
        <v/>
      </c>
      <c r="X319" s="112" t="str">
        <f t="shared" si="68"/>
        <v/>
      </c>
      <c r="Y319" s="112" t="str">
        <f t="shared" si="69"/>
        <v/>
      </c>
      <c r="Z319" s="112" t="str">
        <f t="shared" si="75"/>
        <v/>
      </c>
      <c r="AA319" s="112" t="str">
        <f t="shared" si="76"/>
        <v/>
      </c>
      <c r="AB319" s="112" t="str">
        <f t="shared" si="77"/>
        <v/>
      </c>
      <c r="AC319" s="112" t="str">
        <f t="shared" si="78"/>
        <v/>
      </c>
      <c r="AD319" s="112" t="str">
        <f t="shared" si="79"/>
        <v/>
      </c>
    </row>
    <row r="320" spans="1:30" x14ac:dyDescent="0.2">
      <c r="A320" s="112" t="str">
        <f>IF(SUM(Q320:R320)=1,1+MAX($A$1:A319),"")</f>
        <v/>
      </c>
      <c r="B320" s="112" t="str">
        <f>IF(SUM(X320:Y320)=1,1+MAX($B$1:B319),"")</f>
        <v/>
      </c>
      <c r="C320" s="112" t="str">
        <f>IF(SUM(Q320:R320,X320:Y320)=2,1+MAX($C$1:C319),"")</f>
        <v/>
      </c>
      <c r="D320" s="113">
        <v>35956</v>
      </c>
      <c r="E320" s="112">
        <v>1998</v>
      </c>
      <c r="F320" s="112" t="s">
        <v>2689</v>
      </c>
      <c r="G320" s="112" t="s">
        <v>2690</v>
      </c>
      <c r="H320" s="114" t="s">
        <v>2555</v>
      </c>
      <c r="I320" s="112">
        <f t="shared" si="64"/>
        <v>2</v>
      </c>
      <c r="J320" s="112">
        <f t="shared" si="65"/>
        <v>2</v>
      </c>
      <c r="K320" s="115" t="s">
        <v>2707</v>
      </c>
      <c r="L320" s="115" t="s">
        <v>2864</v>
      </c>
      <c r="M320" s="115" t="s">
        <v>2874</v>
      </c>
      <c r="N320" s="115">
        <v>29800</v>
      </c>
      <c r="O320" s="112">
        <v>2</v>
      </c>
      <c r="P320" s="116" t="s">
        <v>2697</v>
      </c>
      <c r="Q320" s="112" t="str">
        <f t="shared" si="66"/>
        <v/>
      </c>
      <c r="R320" s="112" t="str">
        <f t="shared" si="67"/>
        <v/>
      </c>
      <c r="S320" s="112" t="str">
        <f t="shared" si="70"/>
        <v/>
      </c>
      <c r="T320" s="112" t="str">
        <f t="shared" si="71"/>
        <v/>
      </c>
      <c r="U320" s="112" t="str">
        <f t="shared" si="72"/>
        <v/>
      </c>
      <c r="V320" s="112" t="str">
        <f t="shared" si="73"/>
        <v/>
      </c>
      <c r="W320" s="112" t="str">
        <f t="shared" si="74"/>
        <v/>
      </c>
      <c r="X320" s="112" t="str">
        <f t="shared" si="68"/>
        <v/>
      </c>
      <c r="Y320" s="112" t="str">
        <f t="shared" si="69"/>
        <v/>
      </c>
      <c r="Z320" s="112" t="str">
        <f t="shared" si="75"/>
        <v/>
      </c>
      <c r="AA320" s="112" t="str">
        <f t="shared" si="76"/>
        <v/>
      </c>
      <c r="AB320" s="112" t="str">
        <f t="shared" si="77"/>
        <v/>
      </c>
      <c r="AC320" s="112" t="str">
        <f t="shared" si="78"/>
        <v/>
      </c>
      <c r="AD320" s="112" t="str">
        <f t="shared" si="79"/>
        <v/>
      </c>
    </row>
    <row r="321" spans="1:30" x14ac:dyDescent="0.2">
      <c r="A321" s="112" t="str">
        <f>IF(SUM(Q321:R321)=1,1+MAX($A$1:A320),"")</f>
        <v/>
      </c>
      <c r="B321" s="112" t="str">
        <f>IF(SUM(X321:Y321)=1,1+MAX($B$1:B320),"")</f>
        <v/>
      </c>
      <c r="C321" s="112" t="str">
        <f>IF(SUM(Q321:R321,X321:Y321)=2,1+MAX($C$1:C320),"")</f>
        <v/>
      </c>
      <c r="D321" s="113">
        <v>35956</v>
      </c>
      <c r="E321" s="112">
        <v>1998</v>
      </c>
      <c r="F321" s="112" t="s">
        <v>2689</v>
      </c>
      <c r="G321" s="112" t="s">
        <v>2690</v>
      </c>
      <c r="H321" s="114" t="s">
        <v>1442</v>
      </c>
      <c r="I321" s="112">
        <f t="shared" si="64"/>
        <v>2</v>
      </c>
      <c r="J321" s="112">
        <f t="shared" si="65"/>
        <v>1</v>
      </c>
      <c r="K321" s="115" t="s">
        <v>2717</v>
      </c>
      <c r="L321" s="115" t="s">
        <v>2849</v>
      </c>
      <c r="M321" s="115" t="s">
        <v>2890</v>
      </c>
      <c r="N321" s="115">
        <v>80000</v>
      </c>
      <c r="O321" s="112">
        <v>2</v>
      </c>
      <c r="P321" s="116" t="s">
        <v>2626</v>
      </c>
      <c r="Q321" s="112" t="str">
        <f t="shared" si="66"/>
        <v/>
      </c>
      <c r="R321" s="112" t="str">
        <f t="shared" si="67"/>
        <v/>
      </c>
      <c r="S321" s="112" t="str">
        <f t="shared" si="70"/>
        <v/>
      </c>
      <c r="T321" s="112" t="str">
        <f t="shared" si="71"/>
        <v/>
      </c>
      <c r="U321" s="112" t="str">
        <f t="shared" si="72"/>
        <v/>
      </c>
      <c r="V321" s="112" t="str">
        <f t="shared" si="73"/>
        <v/>
      </c>
      <c r="W321" s="112" t="str">
        <f t="shared" si="74"/>
        <v/>
      </c>
      <c r="X321" s="112" t="str">
        <f t="shared" si="68"/>
        <v/>
      </c>
      <c r="Y321" s="112" t="str">
        <f t="shared" si="69"/>
        <v/>
      </c>
      <c r="Z321" s="112" t="str">
        <f t="shared" si="75"/>
        <v/>
      </c>
      <c r="AA321" s="112" t="str">
        <f t="shared" si="76"/>
        <v/>
      </c>
      <c r="AB321" s="112" t="str">
        <f t="shared" si="77"/>
        <v/>
      </c>
      <c r="AC321" s="112" t="str">
        <f t="shared" si="78"/>
        <v/>
      </c>
      <c r="AD321" s="112" t="str">
        <f t="shared" si="79"/>
        <v/>
      </c>
    </row>
    <row r="322" spans="1:30" x14ac:dyDescent="0.2">
      <c r="A322" s="112" t="str">
        <f>IF(SUM(Q322:R322)=1,1+MAX($A$1:A321),"")</f>
        <v/>
      </c>
      <c r="B322" s="112" t="str">
        <f>IF(SUM(X322:Y322)=1,1+MAX($B$1:B321),"")</f>
        <v/>
      </c>
      <c r="C322" s="112" t="str">
        <f>IF(SUM(Q322:R322,X322:Y322)=2,1+MAX($C$1:C321),"")</f>
        <v/>
      </c>
      <c r="D322" s="113">
        <v>34532</v>
      </c>
      <c r="E322" s="112">
        <v>1994</v>
      </c>
      <c r="F322" s="112" t="s">
        <v>2597</v>
      </c>
      <c r="H322" s="114" t="s">
        <v>1442</v>
      </c>
      <c r="I322" s="112">
        <f t="shared" ref="I322:I385" si="80">INT(LEFT(P322,FIND("-",P322)-1))</f>
        <v>0</v>
      </c>
      <c r="J322" s="112">
        <f t="shared" ref="J322:J385" si="81">INT(RIGHT(P322,LEN(P322)-FIND("-",P322)-1))</f>
        <v>0</v>
      </c>
      <c r="K322" s="115" t="s">
        <v>2674</v>
      </c>
      <c r="L322" s="115" t="s">
        <v>2891</v>
      </c>
      <c r="M322" s="115" t="s">
        <v>2892</v>
      </c>
      <c r="N322" s="115">
        <v>94194</v>
      </c>
      <c r="O322" s="112">
        <v>2</v>
      </c>
      <c r="P322" s="116" t="s">
        <v>2613</v>
      </c>
      <c r="Q322" s="112" t="str">
        <f t="shared" ref="Q322:Q385" si="82">IF(H322=team1,1,"")</f>
        <v/>
      </c>
      <c r="R322" s="112" t="str">
        <f t="shared" ref="R322:R385" si="83">IF(K322=team1,1,"")</f>
        <v/>
      </c>
      <c r="S322" s="112" t="str">
        <f t="shared" si="70"/>
        <v/>
      </c>
      <c r="T322" s="112" t="str">
        <f t="shared" si="71"/>
        <v/>
      </c>
      <c r="U322" s="112" t="str">
        <f t="shared" si="72"/>
        <v/>
      </c>
      <c r="V322" s="112" t="str">
        <f t="shared" si="73"/>
        <v/>
      </c>
      <c r="W322" s="112" t="str">
        <f t="shared" si="74"/>
        <v/>
      </c>
      <c r="X322" s="112" t="str">
        <f t="shared" ref="X322:X385" si="84">IF(H322=team2,1,"")</f>
        <v/>
      </c>
      <c r="Y322" s="112" t="str">
        <f t="shared" ref="Y322:Y385" si="85">IF(K322=team2,1,"")</f>
        <v/>
      </c>
      <c r="Z322" s="112" t="str">
        <f t="shared" si="75"/>
        <v/>
      </c>
      <c r="AA322" s="112" t="str">
        <f t="shared" si="76"/>
        <v/>
      </c>
      <c r="AB322" s="112" t="str">
        <f t="shared" si="77"/>
        <v/>
      </c>
      <c r="AC322" s="112" t="str">
        <f t="shared" si="78"/>
        <v/>
      </c>
      <c r="AD322" s="112" t="str">
        <f t="shared" si="79"/>
        <v/>
      </c>
    </row>
    <row r="323" spans="1:30" x14ac:dyDescent="0.2">
      <c r="A323" s="112" t="str">
        <f>IF(SUM(Q323:R323)=1,1+MAX($A$1:A322),"")</f>
        <v/>
      </c>
      <c r="B323" s="112" t="str">
        <f>IF(SUM(X323:Y323)=1,1+MAX($B$1:B322),"")</f>
        <v/>
      </c>
      <c r="C323" s="112" t="str">
        <f>IF(SUM(Q323:R323,X323:Y323)=2,1+MAX($C$1:C322),"")</f>
        <v/>
      </c>
      <c r="D323" s="113">
        <v>34531</v>
      </c>
      <c r="E323" s="112">
        <v>1994</v>
      </c>
      <c r="F323" s="112" t="s">
        <v>2602</v>
      </c>
      <c r="H323" s="114" t="s">
        <v>2631</v>
      </c>
      <c r="I323" s="112">
        <f t="shared" si="80"/>
        <v>0</v>
      </c>
      <c r="J323" s="112">
        <f t="shared" si="81"/>
        <v>4</v>
      </c>
      <c r="K323" s="115" t="s">
        <v>2549</v>
      </c>
      <c r="L323" s="115" t="s">
        <v>2891</v>
      </c>
      <c r="M323" s="115" t="s">
        <v>2833</v>
      </c>
      <c r="N323" s="115">
        <v>91500</v>
      </c>
      <c r="O323" s="112">
        <v>2</v>
      </c>
      <c r="P323" s="116" t="s">
        <v>2708</v>
      </c>
      <c r="Q323" s="112" t="str">
        <f t="shared" si="82"/>
        <v/>
      </c>
      <c r="R323" s="112" t="str">
        <f t="shared" si="83"/>
        <v/>
      </c>
      <c r="S323" s="112" t="str">
        <f t="shared" ref="S323:S386" si="86">IF(Q323=1,IF($I323&gt;$J323,1,0),IF(R323=1,IF($I323&lt;$J323,1,0),""))</f>
        <v/>
      </c>
      <c r="T323" s="112" t="str">
        <f t="shared" ref="T323:T386" si="87">IF(Q323=1,IF($I323=$J323,1,0),IF(R323=1,IF($I323=$J323,1,0),""))</f>
        <v/>
      </c>
      <c r="U323" s="112" t="str">
        <f t="shared" ref="U323:U386" si="88">IF(Q323=1,IF($I323&lt;$J323,1,0),IF(R323=1,IF($I323&gt;$J323,1,0),""))</f>
        <v/>
      </c>
      <c r="V323" s="112" t="str">
        <f t="shared" ref="V323:V386" si="89">IF(SUM(Q323:R323)=1,$I323+$J323,"")</f>
        <v/>
      </c>
      <c r="W323" s="112" t="str">
        <f t="shared" ref="W323:W386" si="90">IF(Q323=1,$I323-$J323,IF(R323=1,-($I323-$J323),""))</f>
        <v/>
      </c>
      <c r="X323" s="112" t="str">
        <f t="shared" si="84"/>
        <v/>
      </c>
      <c r="Y323" s="112" t="str">
        <f t="shared" si="85"/>
        <v/>
      </c>
      <c r="Z323" s="112" t="str">
        <f t="shared" ref="Z323:Z386" si="91">IF(X323=1,IF($I323&gt;$J323,1,0),IF(Y323=1,IF($I323&lt;$J323,1,0),""))</f>
        <v/>
      </c>
      <c r="AA323" s="112" t="str">
        <f t="shared" ref="AA323:AA386" si="92">IF(X323=1,IF($I323=$J323,1,0),IF(Y323=1,IF($I323=$J323,1,0),""))</f>
        <v/>
      </c>
      <c r="AB323" s="112" t="str">
        <f t="shared" ref="AB323:AB386" si="93">IF(X323=1,IF($I323&lt;$J323,1,0),IF(Y323=1,IF($I323&gt;$J323,1,0),""))</f>
        <v/>
      </c>
      <c r="AC323" s="112" t="str">
        <f t="shared" ref="AC323:AC386" si="94">IF(SUM(X323:Y323)=1,$I323+$J323,"")</f>
        <v/>
      </c>
      <c r="AD323" s="112" t="str">
        <f t="shared" ref="AD323:AD386" si="95">IF(X323=1,$I323-$J323,IF(Y323=1,-($I323-$J323),""))</f>
        <v/>
      </c>
    </row>
    <row r="324" spans="1:30" x14ac:dyDescent="0.2">
      <c r="A324" s="112" t="str">
        <f>IF(SUM(Q324:R324)=1,1+MAX($A$1:A323),"")</f>
        <v/>
      </c>
      <c r="B324" s="112" t="str">
        <f>IF(SUM(X324:Y324)=1,1+MAX($B$1:B323),"")</f>
        <v/>
      </c>
      <c r="C324" s="112" t="str">
        <f>IF(SUM(Q324:R324,X324:Y324)=2,1+MAX($C$1:C323),"")</f>
        <v/>
      </c>
      <c r="D324" s="113">
        <v>34528</v>
      </c>
      <c r="E324" s="112">
        <v>1994</v>
      </c>
      <c r="F324" s="112" t="s">
        <v>2609</v>
      </c>
      <c r="H324" s="114" t="s">
        <v>1442</v>
      </c>
      <c r="I324" s="112">
        <f t="shared" si="80"/>
        <v>1</v>
      </c>
      <c r="J324" s="112">
        <f t="shared" si="81"/>
        <v>0</v>
      </c>
      <c r="K324" s="115" t="s">
        <v>2549</v>
      </c>
      <c r="L324" s="115" t="s">
        <v>2891</v>
      </c>
      <c r="M324" s="115" t="s">
        <v>2893</v>
      </c>
      <c r="N324" s="115">
        <v>91856</v>
      </c>
      <c r="O324" s="112">
        <v>2</v>
      </c>
      <c r="P324" s="116" t="s">
        <v>2622</v>
      </c>
      <c r="Q324" s="112" t="str">
        <f t="shared" si="82"/>
        <v/>
      </c>
      <c r="R324" s="112" t="str">
        <f t="shared" si="83"/>
        <v/>
      </c>
      <c r="S324" s="112" t="str">
        <f t="shared" si="86"/>
        <v/>
      </c>
      <c r="T324" s="112" t="str">
        <f t="shared" si="87"/>
        <v/>
      </c>
      <c r="U324" s="112" t="str">
        <f t="shared" si="88"/>
        <v/>
      </c>
      <c r="V324" s="112" t="str">
        <f t="shared" si="89"/>
        <v/>
      </c>
      <c r="W324" s="112" t="str">
        <f t="shared" si="90"/>
        <v/>
      </c>
      <c r="X324" s="112" t="str">
        <f t="shared" si="84"/>
        <v/>
      </c>
      <c r="Y324" s="112" t="str">
        <f t="shared" si="85"/>
        <v/>
      </c>
      <c r="Z324" s="112" t="str">
        <f t="shared" si="91"/>
        <v/>
      </c>
      <c r="AA324" s="112" t="str">
        <f t="shared" si="92"/>
        <v/>
      </c>
      <c r="AB324" s="112" t="str">
        <f t="shared" si="93"/>
        <v/>
      </c>
      <c r="AC324" s="112" t="str">
        <f t="shared" si="94"/>
        <v/>
      </c>
      <c r="AD324" s="112" t="str">
        <f t="shared" si="95"/>
        <v/>
      </c>
    </row>
    <row r="325" spans="1:30" x14ac:dyDescent="0.2">
      <c r="A325" s="112" t="str">
        <f>IF(SUM(Q325:R325)=1,1+MAX($A$1:A324),"")</f>
        <v/>
      </c>
      <c r="B325" s="112" t="str">
        <f>IF(SUM(X325:Y325)=1,1+MAX($B$1:B324),"")</f>
        <v/>
      </c>
      <c r="C325" s="112" t="str">
        <f>IF(SUM(Q325:R325,X325:Y325)=2,1+MAX($C$1:C324),"")</f>
        <v/>
      </c>
      <c r="D325" s="113">
        <v>34528</v>
      </c>
      <c r="E325" s="112">
        <v>1994</v>
      </c>
      <c r="F325" s="112" t="s">
        <v>2609</v>
      </c>
      <c r="H325" s="114" t="s">
        <v>2631</v>
      </c>
      <c r="I325" s="112">
        <f t="shared" si="80"/>
        <v>1</v>
      </c>
      <c r="J325" s="112">
        <f t="shared" si="81"/>
        <v>2</v>
      </c>
      <c r="K325" s="115" t="s">
        <v>2674</v>
      </c>
      <c r="L325" s="115" t="s">
        <v>2894</v>
      </c>
      <c r="M325" s="115" t="s">
        <v>2895</v>
      </c>
      <c r="N325" s="115">
        <v>74110</v>
      </c>
      <c r="O325" s="112">
        <v>2</v>
      </c>
      <c r="P325" s="116" t="s">
        <v>2638</v>
      </c>
      <c r="Q325" s="112" t="str">
        <f t="shared" si="82"/>
        <v/>
      </c>
      <c r="R325" s="112" t="str">
        <f t="shared" si="83"/>
        <v/>
      </c>
      <c r="S325" s="112" t="str">
        <f t="shared" si="86"/>
        <v/>
      </c>
      <c r="T325" s="112" t="str">
        <f t="shared" si="87"/>
        <v/>
      </c>
      <c r="U325" s="112" t="str">
        <f t="shared" si="88"/>
        <v/>
      </c>
      <c r="V325" s="112" t="str">
        <f t="shared" si="89"/>
        <v/>
      </c>
      <c r="W325" s="112" t="str">
        <f t="shared" si="90"/>
        <v/>
      </c>
      <c r="X325" s="112" t="str">
        <f t="shared" si="84"/>
        <v/>
      </c>
      <c r="Y325" s="112" t="str">
        <f t="shared" si="85"/>
        <v/>
      </c>
      <c r="Z325" s="112" t="str">
        <f t="shared" si="91"/>
        <v/>
      </c>
      <c r="AA325" s="112" t="str">
        <f t="shared" si="92"/>
        <v/>
      </c>
      <c r="AB325" s="112" t="str">
        <f t="shared" si="93"/>
        <v/>
      </c>
      <c r="AC325" s="112" t="str">
        <f t="shared" si="94"/>
        <v/>
      </c>
      <c r="AD325" s="112" t="str">
        <f t="shared" si="95"/>
        <v/>
      </c>
    </row>
    <row r="326" spans="1:30" x14ac:dyDescent="0.2">
      <c r="A326" s="112" t="str">
        <f>IF(SUM(Q326:R326)=1,1+MAX($A$1:A325),"")</f>
        <v/>
      </c>
      <c r="B326" s="112" t="str">
        <f>IF(SUM(X326:Y326)=1,1+MAX($B$1:B325),"")</f>
        <v/>
      </c>
      <c r="C326" s="112" t="str">
        <f>IF(SUM(Q326:R326,X326:Y326)=2,1+MAX($C$1:C325),"")</f>
        <v/>
      </c>
      <c r="D326" s="113">
        <v>34525</v>
      </c>
      <c r="E326" s="112">
        <v>1994</v>
      </c>
      <c r="F326" s="112" t="s">
        <v>2618</v>
      </c>
      <c r="H326" s="114" t="s">
        <v>2711</v>
      </c>
      <c r="I326" s="112">
        <f t="shared" si="80"/>
        <v>2</v>
      </c>
      <c r="J326" s="112">
        <f t="shared" si="81"/>
        <v>2</v>
      </c>
      <c r="K326" s="115" t="s">
        <v>2549</v>
      </c>
      <c r="L326" s="115" t="s">
        <v>2896</v>
      </c>
      <c r="M326" s="115" t="s">
        <v>2897</v>
      </c>
      <c r="N326" s="115">
        <v>83500</v>
      </c>
      <c r="O326" s="112">
        <v>2</v>
      </c>
      <c r="P326" s="116" t="s">
        <v>2697</v>
      </c>
      <c r="Q326" s="112" t="str">
        <f t="shared" si="82"/>
        <v/>
      </c>
      <c r="R326" s="112" t="str">
        <f t="shared" si="83"/>
        <v/>
      </c>
      <c r="S326" s="112" t="str">
        <f t="shared" si="86"/>
        <v/>
      </c>
      <c r="T326" s="112" t="str">
        <f t="shared" si="87"/>
        <v/>
      </c>
      <c r="U326" s="112" t="str">
        <f t="shared" si="88"/>
        <v/>
      </c>
      <c r="V326" s="112" t="str">
        <f t="shared" si="89"/>
        <v/>
      </c>
      <c r="W326" s="112" t="str">
        <f t="shared" si="90"/>
        <v/>
      </c>
      <c r="X326" s="112" t="str">
        <f t="shared" si="84"/>
        <v/>
      </c>
      <c r="Y326" s="112" t="str">
        <f t="shared" si="85"/>
        <v/>
      </c>
      <c r="Z326" s="112" t="str">
        <f t="shared" si="91"/>
        <v/>
      </c>
      <c r="AA326" s="112" t="str">
        <f t="shared" si="92"/>
        <v/>
      </c>
      <c r="AB326" s="112" t="str">
        <f t="shared" si="93"/>
        <v/>
      </c>
      <c r="AC326" s="112" t="str">
        <f t="shared" si="94"/>
        <v/>
      </c>
      <c r="AD326" s="112" t="str">
        <f t="shared" si="95"/>
        <v/>
      </c>
    </row>
    <row r="327" spans="1:30" x14ac:dyDescent="0.2">
      <c r="A327" s="112" t="str">
        <f>IF(SUM(Q327:R327)=1,1+MAX($A$1:A326),"")</f>
        <v/>
      </c>
      <c r="B327" s="112" t="str">
        <f>IF(SUM(X327:Y327)=1,1+MAX($B$1:B326),"")</f>
        <v/>
      </c>
      <c r="C327" s="112" t="str">
        <f>IF(SUM(Q327:R327,X327:Y327)=2,1+MAX($C$1:C326),"")</f>
        <v/>
      </c>
      <c r="D327" s="113">
        <v>34525</v>
      </c>
      <c r="E327" s="112">
        <v>1994</v>
      </c>
      <c r="F327" s="112" t="s">
        <v>2618</v>
      </c>
      <c r="H327" s="114" t="s">
        <v>2631</v>
      </c>
      <c r="I327" s="112">
        <f t="shared" si="80"/>
        <v>2</v>
      </c>
      <c r="J327" s="112">
        <f t="shared" si="81"/>
        <v>1</v>
      </c>
      <c r="K327" s="115" t="s">
        <v>2547</v>
      </c>
      <c r="L327" s="115" t="s">
        <v>2894</v>
      </c>
      <c r="M327" s="115" t="s">
        <v>2893</v>
      </c>
      <c r="N327" s="115">
        <v>72000</v>
      </c>
      <c r="O327" s="112">
        <v>2</v>
      </c>
      <c r="P327" s="116" t="s">
        <v>2626</v>
      </c>
      <c r="Q327" s="112" t="str">
        <f t="shared" si="82"/>
        <v/>
      </c>
      <c r="R327" s="112" t="str">
        <f t="shared" si="83"/>
        <v/>
      </c>
      <c r="S327" s="112" t="str">
        <f t="shared" si="86"/>
        <v/>
      </c>
      <c r="T327" s="112" t="str">
        <f t="shared" si="87"/>
        <v/>
      </c>
      <c r="U327" s="112" t="str">
        <f t="shared" si="88"/>
        <v/>
      </c>
      <c r="V327" s="112" t="str">
        <f t="shared" si="89"/>
        <v/>
      </c>
      <c r="W327" s="112" t="str">
        <f t="shared" si="90"/>
        <v/>
      </c>
      <c r="X327" s="112" t="str">
        <f t="shared" si="84"/>
        <v/>
      </c>
      <c r="Y327" s="112" t="str">
        <f t="shared" si="85"/>
        <v/>
      </c>
      <c r="Z327" s="112" t="str">
        <f t="shared" si="91"/>
        <v/>
      </c>
      <c r="AA327" s="112" t="str">
        <f t="shared" si="92"/>
        <v/>
      </c>
      <c r="AB327" s="112" t="str">
        <f t="shared" si="93"/>
        <v/>
      </c>
      <c r="AC327" s="112" t="str">
        <f t="shared" si="94"/>
        <v/>
      </c>
      <c r="AD327" s="112" t="str">
        <f t="shared" si="95"/>
        <v/>
      </c>
    </row>
    <row r="328" spans="1:30" x14ac:dyDescent="0.2">
      <c r="A328" s="112" t="str">
        <f>IF(SUM(Q328:R328)=1,1+MAX($A$1:A327),"")</f>
        <v/>
      </c>
      <c r="B328" s="112" t="str">
        <f>IF(SUM(X328:Y328)=1,1+MAX($B$1:B327),"")</f>
        <v/>
      </c>
      <c r="C328" s="112" t="str">
        <f>IF(SUM(Q328:R328,X328:Y328)=2,1+MAX($C$1:C327),"")</f>
        <v/>
      </c>
      <c r="D328" s="113">
        <v>34524</v>
      </c>
      <c r="E328" s="112">
        <v>1994</v>
      </c>
      <c r="F328" s="112" t="s">
        <v>2618</v>
      </c>
      <c r="H328" s="114" t="s">
        <v>1442</v>
      </c>
      <c r="I328" s="112">
        <f t="shared" si="80"/>
        <v>3</v>
      </c>
      <c r="J328" s="112">
        <f t="shared" si="81"/>
        <v>2</v>
      </c>
      <c r="K328" s="115" t="s">
        <v>2604</v>
      </c>
      <c r="L328" s="115" t="s">
        <v>2898</v>
      </c>
      <c r="M328" s="115" t="s">
        <v>2899</v>
      </c>
      <c r="N328" s="115">
        <v>63500</v>
      </c>
      <c r="O328" s="112">
        <v>2</v>
      </c>
      <c r="P328" s="116" t="s">
        <v>2664</v>
      </c>
      <c r="Q328" s="112" t="str">
        <f t="shared" si="82"/>
        <v/>
      </c>
      <c r="R328" s="112" t="str">
        <f t="shared" si="83"/>
        <v/>
      </c>
      <c r="S328" s="112" t="str">
        <f t="shared" si="86"/>
        <v/>
      </c>
      <c r="T328" s="112" t="str">
        <f t="shared" si="87"/>
        <v/>
      </c>
      <c r="U328" s="112" t="str">
        <f t="shared" si="88"/>
        <v/>
      </c>
      <c r="V328" s="112" t="str">
        <f t="shared" si="89"/>
        <v/>
      </c>
      <c r="W328" s="112" t="str">
        <f t="shared" si="90"/>
        <v/>
      </c>
      <c r="X328" s="112" t="str">
        <f t="shared" si="84"/>
        <v/>
      </c>
      <c r="Y328" s="112" t="str">
        <f t="shared" si="85"/>
        <v/>
      </c>
      <c r="Z328" s="112" t="str">
        <f t="shared" si="91"/>
        <v/>
      </c>
      <c r="AA328" s="112" t="str">
        <f t="shared" si="92"/>
        <v/>
      </c>
      <c r="AB328" s="112" t="str">
        <f t="shared" si="93"/>
        <v/>
      </c>
      <c r="AC328" s="112" t="str">
        <f t="shared" si="94"/>
        <v/>
      </c>
      <c r="AD328" s="112" t="str">
        <f t="shared" si="95"/>
        <v/>
      </c>
    </row>
    <row r="329" spans="1:30" x14ac:dyDescent="0.2">
      <c r="A329" s="112" t="str">
        <f>IF(SUM(Q329:R329)=1,1+MAX($A$1:A328),"")</f>
        <v/>
      </c>
      <c r="B329" s="112" t="str">
        <f>IF(SUM(X329:Y329)=1,1+MAX($B$1:B328),"")</f>
        <v/>
      </c>
      <c r="C329" s="112" t="str">
        <f>IF(SUM(Q329:R329,X329:Y329)=2,1+MAX($C$1:C328),"")</f>
        <v/>
      </c>
      <c r="D329" s="113">
        <v>34524</v>
      </c>
      <c r="E329" s="112">
        <v>1994</v>
      </c>
      <c r="F329" s="112" t="s">
        <v>2618</v>
      </c>
      <c r="H329" s="114" t="s">
        <v>2674</v>
      </c>
      <c r="I329" s="112">
        <f t="shared" si="80"/>
        <v>2</v>
      </c>
      <c r="J329" s="112">
        <f t="shared" si="81"/>
        <v>1</v>
      </c>
      <c r="K329" s="115" t="s">
        <v>2557</v>
      </c>
      <c r="L329" s="115" t="s">
        <v>2900</v>
      </c>
      <c r="M329" s="115" t="s">
        <v>2892</v>
      </c>
      <c r="N329" s="115">
        <v>53400</v>
      </c>
      <c r="O329" s="112">
        <v>2</v>
      </c>
      <c r="P329" s="116" t="s">
        <v>2626</v>
      </c>
      <c r="Q329" s="112" t="str">
        <f t="shared" si="82"/>
        <v/>
      </c>
      <c r="R329" s="112" t="str">
        <f t="shared" si="83"/>
        <v/>
      </c>
      <c r="S329" s="112" t="str">
        <f t="shared" si="86"/>
        <v/>
      </c>
      <c r="T329" s="112" t="str">
        <f t="shared" si="87"/>
        <v/>
      </c>
      <c r="U329" s="112" t="str">
        <f t="shared" si="88"/>
        <v/>
      </c>
      <c r="V329" s="112" t="str">
        <f t="shared" si="89"/>
        <v/>
      </c>
      <c r="W329" s="112" t="str">
        <f t="shared" si="90"/>
        <v/>
      </c>
      <c r="X329" s="112" t="str">
        <f t="shared" si="84"/>
        <v/>
      </c>
      <c r="Y329" s="112" t="str">
        <f t="shared" si="85"/>
        <v/>
      </c>
      <c r="Z329" s="112" t="str">
        <f t="shared" si="91"/>
        <v/>
      </c>
      <c r="AA329" s="112" t="str">
        <f t="shared" si="92"/>
        <v/>
      </c>
      <c r="AB329" s="112" t="str">
        <f t="shared" si="93"/>
        <v/>
      </c>
      <c r="AC329" s="112" t="str">
        <f t="shared" si="94"/>
        <v/>
      </c>
      <c r="AD329" s="112" t="str">
        <f t="shared" si="95"/>
        <v/>
      </c>
    </row>
    <row r="330" spans="1:30" x14ac:dyDescent="0.2">
      <c r="A330" s="112" t="str">
        <f>IF(SUM(Q330:R330)=1,1+MAX($A$1:A329),"")</f>
        <v/>
      </c>
      <c r="B330" s="112" t="str">
        <f>IF(SUM(X330:Y330)=1,1+MAX($B$1:B329),"")</f>
        <v/>
      </c>
      <c r="C330" s="112" t="str">
        <f>IF(SUM(Q330:R330,X330:Y330)=2,1+MAX($C$1:C329),"")</f>
        <v/>
      </c>
      <c r="D330" s="113">
        <v>34520</v>
      </c>
      <c r="E330" s="112">
        <v>1994</v>
      </c>
      <c r="F330" s="112" t="s">
        <v>2629</v>
      </c>
      <c r="H330" s="114" t="s">
        <v>2631</v>
      </c>
      <c r="I330" s="112">
        <f t="shared" si="80"/>
        <v>1</v>
      </c>
      <c r="J330" s="112">
        <f t="shared" si="81"/>
        <v>1</v>
      </c>
      <c r="K330" s="115" t="s">
        <v>1061</v>
      </c>
      <c r="L330" s="115" t="s">
        <v>2894</v>
      </c>
      <c r="M330" s="115" t="s">
        <v>2901</v>
      </c>
      <c r="N330" s="115">
        <v>71030</v>
      </c>
      <c r="O330" s="112">
        <v>2</v>
      </c>
      <c r="P330" s="116" t="s">
        <v>2645</v>
      </c>
      <c r="Q330" s="112" t="str">
        <f t="shared" si="82"/>
        <v/>
      </c>
      <c r="R330" s="112" t="str">
        <f t="shared" si="83"/>
        <v/>
      </c>
      <c r="S330" s="112" t="str">
        <f t="shared" si="86"/>
        <v/>
      </c>
      <c r="T330" s="112" t="str">
        <f t="shared" si="87"/>
        <v/>
      </c>
      <c r="U330" s="112" t="str">
        <f t="shared" si="88"/>
        <v/>
      </c>
      <c r="V330" s="112" t="str">
        <f t="shared" si="89"/>
        <v/>
      </c>
      <c r="W330" s="112" t="str">
        <f t="shared" si="90"/>
        <v/>
      </c>
      <c r="X330" s="112" t="str">
        <f t="shared" si="84"/>
        <v/>
      </c>
      <c r="Y330" s="112" t="str">
        <f t="shared" si="85"/>
        <v/>
      </c>
      <c r="Z330" s="112" t="str">
        <f t="shared" si="91"/>
        <v/>
      </c>
      <c r="AA330" s="112" t="str">
        <f t="shared" si="92"/>
        <v/>
      </c>
      <c r="AB330" s="112" t="str">
        <f t="shared" si="93"/>
        <v/>
      </c>
      <c r="AC330" s="112" t="str">
        <f t="shared" si="94"/>
        <v/>
      </c>
      <c r="AD330" s="112" t="str">
        <f t="shared" si="95"/>
        <v/>
      </c>
    </row>
    <row r="331" spans="1:30" x14ac:dyDescent="0.2">
      <c r="A331" s="112" t="str">
        <f>IF(SUM(Q331:R331)=1,1+MAX($A$1:A330),"")</f>
        <v/>
      </c>
      <c r="B331" s="112" t="str">
        <f>IF(SUM(X331:Y331)=1,1+MAX($B$1:B330),"")</f>
        <v/>
      </c>
      <c r="C331" s="112" t="str">
        <f>IF(SUM(Q331:R331,X331:Y331)=2,1+MAX($C$1:C330),"")</f>
        <v/>
      </c>
      <c r="D331" s="113">
        <v>34520</v>
      </c>
      <c r="E331" s="112">
        <v>1994</v>
      </c>
      <c r="F331" s="112" t="s">
        <v>2629</v>
      </c>
      <c r="H331" s="114" t="s">
        <v>2674</v>
      </c>
      <c r="I331" s="112">
        <f t="shared" si="80"/>
        <v>2</v>
      </c>
      <c r="J331" s="112">
        <f t="shared" si="81"/>
        <v>1</v>
      </c>
      <c r="K331" s="115" t="s">
        <v>2542</v>
      </c>
      <c r="L331" s="115" t="s">
        <v>2900</v>
      </c>
      <c r="M331" s="115" t="s">
        <v>2857</v>
      </c>
      <c r="N331" s="115">
        <v>54367</v>
      </c>
      <c r="O331" s="112">
        <v>2</v>
      </c>
      <c r="P331" s="116" t="s">
        <v>2626</v>
      </c>
      <c r="Q331" s="112" t="str">
        <f t="shared" si="82"/>
        <v/>
      </c>
      <c r="R331" s="112" t="str">
        <f t="shared" si="83"/>
        <v/>
      </c>
      <c r="S331" s="112" t="str">
        <f t="shared" si="86"/>
        <v/>
      </c>
      <c r="T331" s="112" t="str">
        <f t="shared" si="87"/>
        <v/>
      </c>
      <c r="U331" s="112" t="str">
        <f t="shared" si="88"/>
        <v/>
      </c>
      <c r="V331" s="112" t="str">
        <f t="shared" si="89"/>
        <v/>
      </c>
      <c r="W331" s="112" t="str">
        <f t="shared" si="90"/>
        <v/>
      </c>
      <c r="X331" s="112" t="str">
        <f t="shared" si="84"/>
        <v/>
      </c>
      <c r="Y331" s="112" t="str">
        <f t="shared" si="85"/>
        <v/>
      </c>
      <c r="Z331" s="112" t="str">
        <f t="shared" si="91"/>
        <v/>
      </c>
      <c r="AA331" s="112" t="str">
        <f t="shared" si="92"/>
        <v/>
      </c>
      <c r="AB331" s="112" t="str">
        <f t="shared" si="93"/>
        <v/>
      </c>
      <c r="AC331" s="112" t="str">
        <f t="shared" si="94"/>
        <v/>
      </c>
      <c r="AD331" s="112" t="str">
        <f t="shared" si="95"/>
        <v/>
      </c>
    </row>
    <row r="332" spans="1:30" x14ac:dyDescent="0.2">
      <c r="A332" s="112" t="str">
        <f>IF(SUM(Q332:R332)=1,1+MAX($A$1:A331),"")</f>
        <v/>
      </c>
      <c r="B332" s="112" t="str">
        <f>IF(SUM(X332:Y332)=1,1+MAX($B$1:B331),"")</f>
        <v/>
      </c>
      <c r="C332" s="112" t="str">
        <f>IF(SUM(Q332:R332,X332:Y332)=2,1+MAX($C$1:C331),"")</f>
        <v/>
      </c>
      <c r="D332" s="113">
        <v>34519</v>
      </c>
      <c r="E332" s="112">
        <v>1994</v>
      </c>
      <c r="F332" s="112" t="s">
        <v>2629</v>
      </c>
      <c r="H332" s="114" t="s">
        <v>1442</v>
      </c>
      <c r="I332" s="112">
        <f t="shared" si="80"/>
        <v>1</v>
      </c>
      <c r="J332" s="112">
        <f t="shared" si="81"/>
        <v>0</v>
      </c>
      <c r="K332" s="115" t="s">
        <v>2614</v>
      </c>
      <c r="L332" s="115" t="s">
        <v>2896</v>
      </c>
      <c r="M332" s="115" t="s">
        <v>2895</v>
      </c>
      <c r="N332" s="115">
        <v>84147</v>
      </c>
      <c r="O332" s="112">
        <v>2</v>
      </c>
      <c r="P332" s="116" t="s">
        <v>2622</v>
      </c>
      <c r="Q332" s="112" t="str">
        <f t="shared" si="82"/>
        <v/>
      </c>
      <c r="R332" s="112" t="str">
        <f t="shared" si="83"/>
        <v/>
      </c>
      <c r="S332" s="112" t="str">
        <f t="shared" si="86"/>
        <v/>
      </c>
      <c r="T332" s="112" t="str">
        <f t="shared" si="87"/>
        <v/>
      </c>
      <c r="U332" s="112" t="str">
        <f t="shared" si="88"/>
        <v/>
      </c>
      <c r="V332" s="112" t="str">
        <f t="shared" si="89"/>
        <v/>
      </c>
      <c r="W332" s="112" t="str">
        <f t="shared" si="90"/>
        <v/>
      </c>
      <c r="X332" s="112" t="str">
        <f t="shared" si="84"/>
        <v/>
      </c>
      <c r="Y332" s="112" t="str">
        <f t="shared" si="85"/>
        <v/>
      </c>
      <c r="Z332" s="112" t="str">
        <f t="shared" si="91"/>
        <v/>
      </c>
      <c r="AA332" s="112" t="str">
        <f t="shared" si="92"/>
        <v/>
      </c>
      <c r="AB332" s="112" t="str">
        <f t="shared" si="93"/>
        <v/>
      </c>
      <c r="AC332" s="112" t="str">
        <f t="shared" si="94"/>
        <v/>
      </c>
      <c r="AD332" s="112" t="str">
        <f t="shared" si="95"/>
        <v/>
      </c>
    </row>
    <row r="333" spans="1:30" x14ac:dyDescent="0.2">
      <c r="A333" s="112" t="str">
        <f>IF(SUM(Q333:R333)=1,1+MAX($A$1:A332),"")</f>
        <v/>
      </c>
      <c r="B333" s="112" t="str">
        <f>IF(SUM(X333:Y333)=1,1+MAX($B$1:B332),"")</f>
        <v/>
      </c>
      <c r="C333" s="112" t="str">
        <f>IF(SUM(Q333:R333,X333:Y333)=2,1+MAX($C$1:C332),"")</f>
        <v/>
      </c>
      <c r="D333" s="113">
        <v>34519</v>
      </c>
      <c r="E333" s="112">
        <v>1994</v>
      </c>
      <c r="F333" s="112" t="s">
        <v>2629</v>
      </c>
      <c r="H333" s="114" t="s">
        <v>2676</v>
      </c>
      <c r="I333" s="112">
        <f t="shared" si="80"/>
        <v>0</v>
      </c>
      <c r="J333" s="112">
        <f t="shared" si="81"/>
        <v>2</v>
      </c>
      <c r="K333" s="115" t="s">
        <v>2604</v>
      </c>
      <c r="L333" s="115" t="s">
        <v>2902</v>
      </c>
      <c r="M333" s="115" t="s">
        <v>2903</v>
      </c>
      <c r="N333" s="115">
        <v>61355</v>
      </c>
      <c r="O333" s="112">
        <v>2</v>
      </c>
      <c r="P333" s="116" t="s">
        <v>2687</v>
      </c>
      <c r="Q333" s="112" t="str">
        <f t="shared" si="82"/>
        <v/>
      </c>
      <c r="R333" s="112" t="str">
        <f t="shared" si="83"/>
        <v/>
      </c>
      <c r="S333" s="112" t="str">
        <f t="shared" si="86"/>
        <v/>
      </c>
      <c r="T333" s="112" t="str">
        <f t="shared" si="87"/>
        <v/>
      </c>
      <c r="U333" s="112" t="str">
        <f t="shared" si="88"/>
        <v/>
      </c>
      <c r="V333" s="112" t="str">
        <f t="shared" si="89"/>
        <v/>
      </c>
      <c r="W333" s="112" t="str">
        <f t="shared" si="90"/>
        <v/>
      </c>
      <c r="X333" s="112" t="str">
        <f t="shared" si="84"/>
        <v/>
      </c>
      <c r="Y333" s="112" t="str">
        <f t="shared" si="85"/>
        <v/>
      </c>
      <c r="Z333" s="112" t="str">
        <f t="shared" si="91"/>
        <v/>
      </c>
      <c r="AA333" s="112" t="str">
        <f t="shared" si="92"/>
        <v/>
      </c>
      <c r="AB333" s="112" t="str">
        <f t="shared" si="93"/>
        <v/>
      </c>
      <c r="AC333" s="112" t="str">
        <f t="shared" si="94"/>
        <v/>
      </c>
      <c r="AD333" s="112" t="str">
        <f t="shared" si="95"/>
        <v/>
      </c>
    </row>
    <row r="334" spans="1:30" x14ac:dyDescent="0.2">
      <c r="A334" s="112" t="str">
        <f>IF(SUM(Q334:R334)=1,1+MAX($A$1:A333),"")</f>
        <v/>
      </c>
      <c r="B334" s="112">
        <f>IF(SUM(X334:Y334)=1,1+MAX($B$1:B333),"")</f>
        <v>26</v>
      </c>
      <c r="C334" s="112" t="str">
        <f>IF(SUM(Q334:R334,X334:Y334)=2,1+MAX($C$1:C333),"")</f>
        <v/>
      </c>
      <c r="D334" s="113">
        <v>34518</v>
      </c>
      <c r="E334" s="112">
        <v>1994</v>
      </c>
      <c r="F334" s="112" t="s">
        <v>2629</v>
      </c>
      <c r="H334" s="114" t="s">
        <v>1134</v>
      </c>
      <c r="I334" s="112">
        <f t="shared" si="80"/>
        <v>2</v>
      </c>
      <c r="J334" s="112">
        <f t="shared" si="81"/>
        <v>3</v>
      </c>
      <c r="K334" s="115" t="s">
        <v>2711</v>
      </c>
      <c r="L334" s="115" t="s">
        <v>2891</v>
      </c>
      <c r="M334" s="115" t="s">
        <v>2904</v>
      </c>
      <c r="N334" s="115">
        <v>90469</v>
      </c>
      <c r="O334" s="112">
        <v>2</v>
      </c>
      <c r="P334" s="116" t="s">
        <v>2706</v>
      </c>
      <c r="Q334" s="112" t="str">
        <f t="shared" si="82"/>
        <v/>
      </c>
      <c r="R334" s="112" t="str">
        <f t="shared" si="83"/>
        <v/>
      </c>
      <c r="S334" s="112" t="str">
        <f t="shared" si="86"/>
        <v/>
      </c>
      <c r="T334" s="112" t="str">
        <f t="shared" si="87"/>
        <v/>
      </c>
      <c r="U334" s="112" t="str">
        <f t="shared" si="88"/>
        <v/>
      </c>
      <c r="V334" s="112" t="str">
        <f t="shared" si="89"/>
        <v/>
      </c>
      <c r="W334" s="112" t="str">
        <f t="shared" si="90"/>
        <v/>
      </c>
      <c r="X334" s="112">
        <f t="shared" si="84"/>
        <v>1</v>
      </c>
      <c r="Y334" s="112" t="str">
        <f t="shared" si="85"/>
        <v/>
      </c>
      <c r="Z334" s="112">
        <f t="shared" si="91"/>
        <v>0</v>
      </c>
      <c r="AA334" s="112">
        <f t="shared" si="92"/>
        <v>0</v>
      </c>
      <c r="AB334" s="112">
        <f t="shared" si="93"/>
        <v>1</v>
      </c>
      <c r="AC334" s="112">
        <f t="shared" si="94"/>
        <v>5</v>
      </c>
      <c r="AD334" s="112">
        <f t="shared" si="95"/>
        <v>-1</v>
      </c>
    </row>
    <row r="335" spans="1:30" x14ac:dyDescent="0.2">
      <c r="A335" s="112" t="str">
        <f>IF(SUM(Q335:R335)=1,1+MAX($A$1:A334),"")</f>
        <v/>
      </c>
      <c r="B335" s="112" t="str">
        <f>IF(SUM(X335:Y335)=1,1+MAX($B$1:B334),"")</f>
        <v/>
      </c>
      <c r="C335" s="112" t="str">
        <f>IF(SUM(Q335:R335,X335:Y335)=2,1+MAX($C$1:C334),"")</f>
        <v/>
      </c>
      <c r="D335" s="113">
        <v>34518</v>
      </c>
      <c r="E335" s="112">
        <v>1994</v>
      </c>
      <c r="F335" s="112" t="s">
        <v>2629</v>
      </c>
      <c r="H335" s="114" t="s">
        <v>2559</v>
      </c>
      <c r="I335" s="112">
        <f t="shared" si="80"/>
        <v>1</v>
      </c>
      <c r="J335" s="112">
        <f t="shared" si="81"/>
        <v>3</v>
      </c>
      <c r="K335" s="115" t="s">
        <v>2549</v>
      </c>
      <c r="L335" s="115" t="s">
        <v>2898</v>
      </c>
      <c r="M335" s="115" t="s">
        <v>2905</v>
      </c>
      <c r="N335" s="115">
        <v>60277</v>
      </c>
      <c r="O335" s="112">
        <v>2</v>
      </c>
      <c r="P335" s="116" t="s">
        <v>2691</v>
      </c>
      <c r="Q335" s="112" t="str">
        <f t="shared" si="82"/>
        <v/>
      </c>
      <c r="R335" s="112" t="str">
        <f t="shared" si="83"/>
        <v/>
      </c>
      <c r="S335" s="112" t="str">
        <f t="shared" si="86"/>
        <v/>
      </c>
      <c r="T335" s="112" t="str">
        <f t="shared" si="87"/>
        <v/>
      </c>
      <c r="U335" s="112" t="str">
        <f t="shared" si="88"/>
        <v/>
      </c>
      <c r="V335" s="112" t="str">
        <f t="shared" si="89"/>
        <v/>
      </c>
      <c r="W335" s="112" t="str">
        <f t="shared" si="90"/>
        <v/>
      </c>
      <c r="X335" s="112" t="str">
        <f t="shared" si="84"/>
        <v/>
      </c>
      <c r="Y335" s="112" t="str">
        <f t="shared" si="85"/>
        <v/>
      </c>
      <c r="Z335" s="112" t="str">
        <f t="shared" si="91"/>
        <v/>
      </c>
      <c r="AA335" s="112" t="str">
        <f t="shared" si="92"/>
        <v/>
      </c>
      <c r="AB335" s="112" t="str">
        <f t="shared" si="93"/>
        <v/>
      </c>
      <c r="AC335" s="112" t="str">
        <f t="shared" si="94"/>
        <v/>
      </c>
      <c r="AD335" s="112" t="str">
        <f t="shared" si="95"/>
        <v/>
      </c>
    </row>
    <row r="336" spans="1:30" x14ac:dyDescent="0.2">
      <c r="A336" s="112" t="str">
        <f>IF(SUM(Q336:R336)=1,1+MAX($A$1:A335),"")</f>
        <v/>
      </c>
      <c r="B336" s="112" t="str">
        <f>IF(SUM(X336:Y336)=1,1+MAX($B$1:B335),"")</f>
        <v/>
      </c>
      <c r="C336" s="112" t="str">
        <f>IF(SUM(Q336:R336,X336:Y336)=2,1+MAX($C$1:C335),"")</f>
        <v/>
      </c>
      <c r="D336" s="113">
        <v>34517</v>
      </c>
      <c r="E336" s="112">
        <v>1994</v>
      </c>
      <c r="F336" s="112" t="s">
        <v>2629</v>
      </c>
      <c r="H336" s="114" t="s">
        <v>2557</v>
      </c>
      <c r="I336" s="112">
        <f t="shared" si="80"/>
        <v>3</v>
      </c>
      <c r="J336" s="112">
        <f t="shared" si="81"/>
        <v>0</v>
      </c>
      <c r="K336" s="115" t="s">
        <v>2558</v>
      </c>
      <c r="L336" s="115" t="s">
        <v>2906</v>
      </c>
      <c r="M336" s="115" t="s">
        <v>2872</v>
      </c>
      <c r="N336" s="115">
        <v>53121</v>
      </c>
      <c r="O336" s="112">
        <v>2</v>
      </c>
      <c r="P336" s="116" t="s">
        <v>2713</v>
      </c>
      <c r="Q336" s="112" t="str">
        <f t="shared" si="82"/>
        <v/>
      </c>
      <c r="R336" s="112" t="str">
        <f t="shared" si="83"/>
        <v/>
      </c>
      <c r="S336" s="112" t="str">
        <f t="shared" si="86"/>
        <v/>
      </c>
      <c r="T336" s="112" t="str">
        <f t="shared" si="87"/>
        <v/>
      </c>
      <c r="U336" s="112" t="str">
        <f t="shared" si="88"/>
        <v/>
      </c>
      <c r="V336" s="112" t="str">
        <f t="shared" si="89"/>
        <v/>
      </c>
      <c r="W336" s="112" t="str">
        <f t="shared" si="90"/>
        <v/>
      </c>
      <c r="X336" s="112" t="str">
        <f t="shared" si="84"/>
        <v/>
      </c>
      <c r="Y336" s="112" t="str">
        <f t="shared" si="85"/>
        <v/>
      </c>
      <c r="Z336" s="112" t="str">
        <f t="shared" si="91"/>
        <v/>
      </c>
      <c r="AA336" s="112" t="str">
        <f t="shared" si="92"/>
        <v/>
      </c>
      <c r="AB336" s="112" t="str">
        <f t="shared" si="93"/>
        <v/>
      </c>
      <c r="AC336" s="112" t="str">
        <f t="shared" si="94"/>
        <v/>
      </c>
      <c r="AD336" s="112" t="str">
        <f t="shared" si="95"/>
        <v/>
      </c>
    </row>
    <row r="337" spans="1:30" x14ac:dyDescent="0.2">
      <c r="A337" s="112" t="str">
        <f>IF(SUM(Q337:R337)=1,1+MAX($A$1:A336),"")</f>
        <v/>
      </c>
      <c r="B337" s="112" t="str">
        <f>IF(SUM(X337:Y337)=1,1+MAX($B$1:B336),"")</f>
        <v/>
      </c>
      <c r="C337" s="112" t="str">
        <f>IF(SUM(Q337:R337,X337:Y337)=2,1+MAX($C$1:C336),"")</f>
        <v/>
      </c>
      <c r="D337" s="113">
        <v>34517</v>
      </c>
      <c r="E337" s="112">
        <v>1994</v>
      </c>
      <c r="F337" s="112" t="s">
        <v>2629</v>
      </c>
      <c r="H337" s="114" t="s">
        <v>2554</v>
      </c>
      <c r="I337" s="112">
        <f t="shared" si="80"/>
        <v>2</v>
      </c>
      <c r="J337" s="112">
        <f t="shared" si="81"/>
        <v>3</v>
      </c>
      <c r="K337" s="115" t="s">
        <v>2547</v>
      </c>
      <c r="L337" s="115" t="s">
        <v>2907</v>
      </c>
      <c r="M337" s="115" t="s">
        <v>2908</v>
      </c>
      <c r="N337" s="115">
        <v>60246</v>
      </c>
      <c r="O337" s="112">
        <v>2</v>
      </c>
      <c r="P337" s="116" t="s">
        <v>2706</v>
      </c>
      <c r="Q337" s="112" t="str">
        <f t="shared" si="82"/>
        <v/>
      </c>
      <c r="R337" s="112" t="str">
        <f t="shared" si="83"/>
        <v/>
      </c>
      <c r="S337" s="112" t="str">
        <f t="shared" si="86"/>
        <v/>
      </c>
      <c r="T337" s="112" t="str">
        <f t="shared" si="87"/>
        <v/>
      </c>
      <c r="U337" s="112" t="str">
        <f t="shared" si="88"/>
        <v/>
      </c>
      <c r="V337" s="112" t="str">
        <f t="shared" si="89"/>
        <v/>
      </c>
      <c r="W337" s="112" t="str">
        <f t="shared" si="90"/>
        <v/>
      </c>
      <c r="X337" s="112" t="str">
        <f t="shared" si="84"/>
        <v/>
      </c>
      <c r="Y337" s="112" t="str">
        <f t="shared" si="85"/>
        <v/>
      </c>
      <c r="Z337" s="112" t="str">
        <f t="shared" si="91"/>
        <v/>
      </c>
      <c r="AA337" s="112" t="str">
        <f t="shared" si="92"/>
        <v/>
      </c>
      <c r="AB337" s="112" t="str">
        <f t="shared" si="93"/>
        <v/>
      </c>
      <c r="AC337" s="112" t="str">
        <f t="shared" si="94"/>
        <v/>
      </c>
      <c r="AD337" s="112" t="str">
        <f t="shared" si="95"/>
        <v/>
      </c>
    </row>
    <row r="338" spans="1:30" x14ac:dyDescent="0.2">
      <c r="A338" s="112" t="str">
        <f>IF(SUM(Q338:R338)=1,1+MAX($A$1:A337),"")</f>
        <v/>
      </c>
      <c r="B338" s="112" t="str">
        <f>IF(SUM(X338:Y338)=1,1+MAX($B$1:B337),"")</f>
        <v/>
      </c>
      <c r="C338" s="112" t="str">
        <f>IF(SUM(Q338:R338,X338:Y338)=2,1+MAX($C$1:C337),"")</f>
        <v/>
      </c>
      <c r="D338" s="113">
        <v>34515</v>
      </c>
      <c r="E338" s="112">
        <v>1994</v>
      </c>
      <c r="F338" s="112" t="s">
        <v>2672</v>
      </c>
      <c r="G338" s="112" t="s">
        <v>2673</v>
      </c>
      <c r="H338" s="114" t="s">
        <v>2642</v>
      </c>
      <c r="I338" s="112">
        <f t="shared" si="80"/>
        <v>0</v>
      </c>
      <c r="J338" s="112">
        <f t="shared" si="81"/>
        <v>2</v>
      </c>
      <c r="K338" s="115" t="s">
        <v>2542</v>
      </c>
      <c r="L338" s="115" t="s">
        <v>2900</v>
      </c>
      <c r="M338" s="115" t="s">
        <v>2909</v>
      </c>
      <c r="N338" s="115">
        <v>53001</v>
      </c>
      <c r="O338" s="112">
        <v>2</v>
      </c>
      <c r="P338" s="116" t="s">
        <v>2687</v>
      </c>
      <c r="Q338" s="112" t="str">
        <f t="shared" si="82"/>
        <v/>
      </c>
      <c r="R338" s="112" t="str">
        <f t="shared" si="83"/>
        <v/>
      </c>
      <c r="S338" s="112" t="str">
        <f t="shared" si="86"/>
        <v/>
      </c>
      <c r="T338" s="112" t="str">
        <f t="shared" si="87"/>
        <v/>
      </c>
      <c r="U338" s="112" t="str">
        <f t="shared" si="88"/>
        <v/>
      </c>
      <c r="V338" s="112" t="str">
        <f t="shared" si="89"/>
        <v/>
      </c>
      <c r="W338" s="112" t="str">
        <f t="shared" si="90"/>
        <v/>
      </c>
      <c r="X338" s="112" t="str">
        <f t="shared" si="84"/>
        <v/>
      </c>
      <c r="Y338" s="112" t="str">
        <f t="shared" si="85"/>
        <v/>
      </c>
      <c r="Z338" s="112" t="str">
        <f t="shared" si="91"/>
        <v/>
      </c>
      <c r="AA338" s="112" t="str">
        <f t="shared" si="92"/>
        <v/>
      </c>
      <c r="AB338" s="112" t="str">
        <f t="shared" si="93"/>
        <v/>
      </c>
      <c r="AC338" s="112" t="str">
        <f t="shared" si="94"/>
        <v/>
      </c>
      <c r="AD338" s="112" t="str">
        <f t="shared" si="95"/>
        <v/>
      </c>
    </row>
    <row r="339" spans="1:30" x14ac:dyDescent="0.2">
      <c r="A339" s="112" t="str">
        <f>IF(SUM(Q339:R339)=1,1+MAX($A$1:A338),"")</f>
        <v/>
      </c>
      <c r="B339" s="112">
        <f>IF(SUM(X339:Y339)=1,1+MAX($B$1:B338),"")</f>
        <v>27</v>
      </c>
      <c r="C339" s="112" t="str">
        <f>IF(SUM(Q339:R339,X339:Y339)=2,1+MAX($C$1:C338),"")</f>
        <v/>
      </c>
      <c r="D339" s="113">
        <v>34515</v>
      </c>
      <c r="E339" s="112">
        <v>1994</v>
      </c>
      <c r="F339" s="112" t="s">
        <v>2672</v>
      </c>
      <c r="G339" s="112" t="s">
        <v>2673</v>
      </c>
      <c r="H339" s="114" t="s">
        <v>1134</v>
      </c>
      <c r="I339" s="112">
        <f t="shared" si="80"/>
        <v>0</v>
      </c>
      <c r="J339" s="112">
        <f t="shared" si="81"/>
        <v>2</v>
      </c>
      <c r="K339" s="115" t="s">
        <v>2631</v>
      </c>
      <c r="L339" s="115" t="s">
        <v>2898</v>
      </c>
      <c r="M339" s="115" t="s">
        <v>2910</v>
      </c>
      <c r="N339" s="115">
        <v>63998</v>
      </c>
      <c r="O339" s="112">
        <v>2</v>
      </c>
      <c r="P339" s="116" t="s">
        <v>2687</v>
      </c>
      <c r="Q339" s="112" t="str">
        <f t="shared" si="82"/>
        <v/>
      </c>
      <c r="R339" s="112" t="str">
        <f t="shared" si="83"/>
        <v/>
      </c>
      <c r="S339" s="112" t="str">
        <f t="shared" si="86"/>
        <v/>
      </c>
      <c r="T339" s="112" t="str">
        <f t="shared" si="87"/>
        <v/>
      </c>
      <c r="U339" s="112" t="str">
        <f t="shared" si="88"/>
        <v/>
      </c>
      <c r="V339" s="112" t="str">
        <f t="shared" si="89"/>
        <v/>
      </c>
      <c r="W339" s="112" t="str">
        <f t="shared" si="90"/>
        <v/>
      </c>
      <c r="X339" s="112">
        <f t="shared" si="84"/>
        <v>1</v>
      </c>
      <c r="Y339" s="112" t="str">
        <f t="shared" si="85"/>
        <v/>
      </c>
      <c r="Z339" s="112">
        <f t="shared" si="91"/>
        <v>0</v>
      </c>
      <c r="AA339" s="112">
        <f t="shared" si="92"/>
        <v>0</v>
      </c>
      <c r="AB339" s="112">
        <f t="shared" si="93"/>
        <v>1</v>
      </c>
      <c r="AC339" s="112">
        <f t="shared" si="94"/>
        <v>2</v>
      </c>
      <c r="AD339" s="112">
        <f t="shared" si="95"/>
        <v>-2</v>
      </c>
    </row>
    <row r="340" spans="1:30" x14ac:dyDescent="0.2">
      <c r="A340" s="112" t="str">
        <f>IF(SUM(Q340:R340)=1,1+MAX($A$1:A339),"")</f>
        <v/>
      </c>
      <c r="B340" s="112" t="str">
        <f>IF(SUM(X340:Y340)=1,1+MAX($B$1:B339),"")</f>
        <v/>
      </c>
      <c r="C340" s="112" t="str">
        <f>IF(SUM(Q340:R340,X340:Y340)=2,1+MAX($C$1:C339),"")</f>
        <v/>
      </c>
      <c r="D340" s="113">
        <v>34514</v>
      </c>
      <c r="E340" s="112">
        <v>1994</v>
      </c>
      <c r="F340" s="112" t="s">
        <v>2661</v>
      </c>
      <c r="G340" s="112" t="s">
        <v>2662</v>
      </c>
      <c r="H340" s="114" t="s">
        <v>2555</v>
      </c>
      <c r="I340" s="112">
        <f t="shared" si="80"/>
        <v>1</v>
      </c>
      <c r="J340" s="112">
        <f t="shared" si="81"/>
        <v>2</v>
      </c>
      <c r="K340" s="115" t="s">
        <v>2604</v>
      </c>
      <c r="L340" s="115" t="s">
        <v>2902</v>
      </c>
      <c r="M340" s="115" t="s">
        <v>2911</v>
      </c>
      <c r="N340" s="115">
        <v>60578</v>
      </c>
      <c r="O340" s="112">
        <v>2</v>
      </c>
      <c r="P340" s="116" t="s">
        <v>2638</v>
      </c>
      <c r="Q340" s="112" t="str">
        <f t="shared" si="82"/>
        <v/>
      </c>
      <c r="R340" s="112" t="str">
        <f t="shared" si="83"/>
        <v/>
      </c>
      <c r="S340" s="112" t="str">
        <f t="shared" si="86"/>
        <v/>
      </c>
      <c r="T340" s="112" t="str">
        <f t="shared" si="87"/>
        <v/>
      </c>
      <c r="U340" s="112" t="str">
        <f t="shared" si="88"/>
        <v/>
      </c>
      <c r="V340" s="112" t="str">
        <f t="shared" si="89"/>
        <v/>
      </c>
      <c r="W340" s="112" t="str">
        <f t="shared" si="90"/>
        <v/>
      </c>
      <c r="X340" s="112" t="str">
        <f t="shared" si="84"/>
        <v/>
      </c>
      <c r="Y340" s="112" t="str">
        <f t="shared" si="85"/>
        <v/>
      </c>
      <c r="Z340" s="112" t="str">
        <f t="shared" si="91"/>
        <v/>
      </c>
      <c r="AA340" s="112" t="str">
        <f t="shared" si="92"/>
        <v/>
      </c>
      <c r="AB340" s="112" t="str">
        <f t="shared" si="93"/>
        <v/>
      </c>
      <c r="AC340" s="112" t="str">
        <f t="shared" si="94"/>
        <v/>
      </c>
      <c r="AD340" s="112" t="str">
        <f t="shared" si="95"/>
        <v/>
      </c>
    </row>
    <row r="341" spans="1:30" x14ac:dyDescent="0.2">
      <c r="A341" s="112" t="str">
        <f>IF(SUM(Q341:R341)=1,1+MAX($A$1:A340),"")</f>
        <v/>
      </c>
      <c r="B341" s="112" t="str">
        <f>IF(SUM(X341:Y341)=1,1+MAX($B$1:B340),"")</f>
        <v/>
      </c>
      <c r="C341" s="112" t="str">
        <f>IF(SUM(Q341:R341,X341:Y341)=2,1+MAX($C$1:C340),"")</f>
        <v/>
      </c>
      <c r="D341" s="113">
        <v>34514</v>
      </c>
      <c r="E341" s="112">
        <v>1994</v>
      </c>
      <c r="F341" s="112" t="s">
        <v>2661</v>
      </c>
      <c r="G341" s="112" t="s">
        <v>2662</v>
      </c>
      <c r="H341" s="114" t="s">
        <v>2554</v>
      </c>
      <c r="I341" s="112">
        <f t="shared" si="80"/>
        <v>0</v>
      </c>
      <c r="J341" s="112">
        <f t="shared" si="81"/>
        <v>1</v>
      </c>
      <c r="K341" s="115" t="s">
        <v>2559</v>
      </c>
      <c r="L341" s="115" t="s">
        <v>2906</v>
      </c>
      <c r="M341" s="115" t="s">
        <v>2912</v>
      </c>
      <c r="N341" s="115">
        <v>52959</v>
      </c>
      <c r="O341" s="112">
        <v>2</v>
      </c>
      <c r="P341" s="116" t="s">
        <v>2601</v>
      </c>
      <c r="Q341" s="112" t="str">
        <f t="shared" si="82"/>
        <v/>
      </c>
      <c r="R341" s="112" t="str">
        <f t="shared" si="83"/>
        <v/>
      </c>
      <c r="S341" s="112" t="str">
        <f t="shared" si="86"/>
        <v/>
      </c>
      <c r="T341" s="112" t="str">
        <f t="shared" si="87"/>
        <v/>
      </c>
      <c r="U341" s="112" t="str">
        <f t="shared" si="88"/>
        <v/>
      </c>
      <c r="V341" s="112" t="str">
        <f t="shared" si="89"/>
        <v/>
      </c>
      <c r="W341" s="112" t="str">
        <f t="shared" si="90"/>
        <v/>
      </c>
      <c r="X341" s="112" t="str">
        <f t="shared" si="84"/>
        <v/>
      </c>
      <c r="Y341" s="112" t="str">
        <f t="shared" si="85"/>
        <v/>
      </c>
      <c r="Z341" s="112" t="str">
        <f t="shared" si="91"/>
        <v/>
      </c>
      <c r="AA341" s="112" t="str">
        <f t="shared" si="92"/>
        <v/>
      </c>
      <c r="AB341" s="112" t="str">
        <f t="shared" si="93"/>
        <v/>
      </c>
      <c r="AC341" s="112" t="str">
        <f t="shared" si="94"/>
        <v/>
      </c>
      <c r="AD341" s="112" t="str">
        <f t="shared" si="95"/>
        <v/>
      </c>
    </row>
    <row r="342" spans="1:30" x14ac:dyDescent="0.2">
      <c r="A342" s="112" t="str">
        <f>IF(SUM(Q342:R342)=1,1+MAX($A$1:A341),"")</f>
        <v/>
      </c>
      <c r="B342" s="112" t="str">
        <f>IF(SUM(X342:Y342)=1,1+MAX($B$1:B341),"")</f>
        <v/>
      </c>
      <c r="C342" s="112" t="str">
        <f>IF(SUM(Q342:R342,X342:Y342)=2,1+MAX($C$1:C341),"")</f>
        <v/>
      </c>
      <c r="D342" s="113">
        <v>34513</v>
      </c>
      <c r="E342" s="112">
        <v>1994</v>
      </c>
      <c r="F342" s="112" t="s">
        <v>2666</v>
      </c>
      <c r="G342" s="112" t="s">
        <v>2667</v>
      </c>
      <c r="H342" s="114" t="s">
        <v>2676</v>
      </c>
      <c r="I342" s="112">
        <f t="shared" si="80"/>
        <v>0</v>
      </c>
      <c r="J342" s="112">
        <f t="shared" si="81"/>
        <v>0</v>
      </c>
      <c r="K342" s="115" t="s">
        <v>2707</v>
      </c>
      <c r="L342" s="115" t="s">
        <v>2894</v>
      </c>
      <c r="M342" s="115" t="s">
        <v>2893</v>
      </c>
      <c r="N342" s="115">
        <v>72404</v>
      </c>
      <c r="O342" s="112">
        <v>2</v>
      </c>
      <c r="P342" s="116" t="s">
        <v>2613</v>
      </c>
      <c r="Q342" s="112" t="str">
        <f t="shared" si="82"/>
        <v/>
      </c>
      <c r="R342" s="112" t="str">
        <f t="shared" si="83"/>
        <v/>
      </c>
      <c r="S342" s="112" t="str">
        <f t="shared" si="86"/>
        <v/>
      </c>
      <c r="T342" s="112" t="str">
        <f t="shared" si="87"/>
        <v/>
      </c>
      <c r="U342" s="112" t="str">
        <f t="shared" si="88"/>
        <v/>
      </c>
      <c r="V342" s="112" t="str">
        <f t="shared" si="89"/>
        <v/>
      </c>
      <c r="W342" s="112" t="str">
        <f t="shared" si="90"/>
        <v/>
      </c>
      <c r="X342" s="112" t="str">
        <f t="shared" si="84"/>
        <v/>
      </c>
      <c r="Y342" s="112" t="str">
        <f t="shared" si="85"/>
        <v/>
      </c>
      <c r="Z342" s="112" t="str">
        <f t="shared" si="91"/>
        <v/>
      </c>
      <c r="AA342" s="112" t="str">
        <f t="shared" si="92"/>
        <v/>
      </c>
      <c r="AB342" s="112" t="str">
        <f t="shared" si="93"/>
        <v/>
      </c>
      <c r="AC342" s="112" t="str">
        <f t="shared" si="94"/>
        <v/>
      </c>
      <c r="AD342" s="112" t="str">
        <f t="shared" si="95"/>
        <v/>
      </c>
    </row>
    <row r="343" spans="1:30" x14ac:dyDescent="0.2">
      <c r="A343" s="112" t="str">
        <f>IF(SUM(Q343:R343)=1,1+MAX($A$1:A342),"")</f>
        <v/>
      </c>
      <c r="B343" s="112" t="str">
        <f>IF(SUM(X343:Y343)=1,1+MAX($B$1:B342),"")</f>
        <v/>
      </c>
      <c r="C343" s="112" t="str">
        <f>IF(SUM(Q343:R343,X343:Y343)=2,1+MAX($C$1:C342),"")</f>
        <v/>
      </c>
      <c r="D343" s="113">
        <v>34513</v>
      </c>
      <c r="E343" s="112">
        <v>1994</v>
      </c>
      <c r="F343" s="112" t="s">
        <v>2666</v>
      </c>
      <c r="G343" s="112" t="s">
        <v>2667</v>
      </c>
      <c r="H343" s="114" t="s">
        <v>2674</v>
      </c>
      <c r="I343" s="112">
        <f t="shared" si="80"/>
        <v>1</v>
      </c>
      <c r="J343" s="112">
        <f t="shared" si="81"/>
        <v>1</v>
      </c>
      <c r="K343" s="115" t="s">
        <v>1061</v>
      </c>
      <c r="L343" s="115" t="s">
        <v>2906</v>
      </c>
      <c r="M343" s="115" t="s">
        <v>2913</v>
      </c>
      <c r="N343" s="115">
        <v>52535</v>
      </c>
      <c r="O343" s="112">
        <v>2</v>
      </c>
      <c r="P343" s="116" t="s">
        <v>2645</v>
      </c>
      <c r="Q343" s="112" t="str">
        <f t="shared" si="82"/>
        <v/>
      </c>
      <c r="R343" s="112" t="str">
        <f t="shared" si="83"/>
        <v/>
      </c>
      <c r="S343" s="112" t="str">
        <f t="shared" si="86"/>
        <v/>
      </c>
      <c r="T343" s="112" t="str">
        <f t="shared" si="87"/>
        <v/>
      </c>
      <c r="U343" s="112" t="str">
        <f t="shared" si="88"/>
        <v/>
      </c>
      <c r="V343" s="112" t="str">
        <f t="shared" si="89"/>
        <v/>
      </c>
      <c r="W343" s="112" t="str">
        <f t="shared" si="90"/>
        <v/>
      </c>
      <c r="X343" s="112" t="str">
        <f t="shared" si="84"/>
        <v/>
      </c>
      <c r="Y343" s="112" t="str">
        <f t="shared" si="85"/>
        <v/>
      </c>
      <c r="Z343" s="112" t="str">
        <f t="shared" si="91"/>
        <v/>
      </c>
      <c r="AA343" s="112" t="str">
        <f t="shared" si="92"/>
        <v/>
      </c>
      <c r="AB343" s="112" t="str">
        <f t="shared" si="93"/>
        <v/>
      </c>
      <c r="AC343" s="112" t="str">
        <f t="shared" si="94"/>
        <v/>
      </c>
      <c r="AD343" s="112" t="str">
        <f t="shared" si="95"/>
        <v/>
      </c>
    </row>
    <row r="344" spans="1:30" x14ac:dyDescent="0.2">
      <c r="A344" s="112" t="str">
        <f>IF(SUM(Q344:R344)=1,1+MAX($A$1:A343),"")</f>
        <v/>
      </c>
      <c r="B344" s="112" t="str">
        <f>IF(SUM(X344:Y344)=1,1+MAX($B$1:B343),"")</f>
        <v/>
      </c>
      <c r="C344" s="112" t="str">
        <f>IF(SUM(Q344:R344,X344:Y344)=2,1+MAX($C$1:C343),"")</f>
        <v/>
      </c>
      <c r="D344" s="113">
        <v>34513</v>
      </c>
      <c r="E344" s="112">
        <v>1994</v>
      </c>
      <c r="F344" s="112" t="s">
        <v>2684</v>
      </c>
      <c r="G344" s="112" t="s">
        <v>2685</v>
      </c>
      <c r="H344" s="114" t="s">
        <v>1442</v>
      </c>
      <c r="I344" s="112">
        <f t="shared" si="80"/>
        <v>1</v>
      </c>
      <c r="J344" s="112">
        <f t="shared" si="81"/>
        <v>1</v>
      </c>
      <c r="K344" s="115" t="s">
        <v>2549</v>
      </c>
      <c r="L344" s="115" t="s">
        <v>2914</v>
      </c>
      <c r="M344" s="115" t="s">
        <v>2892</v>
      </c>
      <c r="N344" s="115">
        <v>77217</v>
      </c>
      <c r="O344" s="112">
        <v>2</v>
      </c>
      <c r="P344" s="116" t="s">
        <v>2645</v>
      </c>
      <c r="Q344" s="112" t="str">
        <f t="shared" si="82"/>
        <v/>
      </c>
      <c r="R344" s="112" t="str">
        <f t="shared" si="83"/>
        <v/>
      </c>
      <c r="S344" s="112" t="str">
        <f t="shared" si="86"/>
        <v/>
      </c>
      <c r="T344" s="112" t="str">
        <f t="shared" si="87"/>
        <v/>
      </c>
      <c r="U344" s="112" t="str">
        <f t="shared" si="88"/>
        <v/>
      </c>
      <c r="V344" s="112" t="str">
        <f t="shared" si="89"/>
        <v/>
      </c>
      <c r="W344" s="112" t="str">
        <f t="shared" si="90"/>
        <v/>
      </c>
      <c r="X344" s="112" t="str">
        <f t="shared" si="84"/>
        <v/>
      </c>
      <c r="Y344" s="112" t="str">
        <f t="shared" si="85"/>
        <v/>
      </c>
      <c r="Z344" s="112" t="str">
        <f t="shared" si="91"/>
        <v/>
      </c>
      <c r="AA344" s="112" t="str">
        <f t="shared" si="92"/>
        <v/>
      </c>
      <c r="AB344" s="112" t="str">
        <f t="shared" si="93"/>
        <v/>
      </c>
      <c r="AC344" s="112" t="str">
        <f t="shared" si="94"/>
        <v/>
      </c>
      <c r="AD344" s="112" t="str">
        <f t="shared" si="95"/>
        <v/>
      </c>
    </row>
    <row r="345" spans="1:30" x14ac:dyDescent="0.2">
      <c r="A345" s="112" t="str">
        <f>IF(SUM(Q345:R345)=1,1+MAX($A$1:A344),"")</f>
        <v/>
      </c>
      <c r="B345" s="112" t="str">
        <f>IF(SUM(X345:Y345)=1,1+MAX($B$1:B344),"")</f>
        <v/>
      </c>
      <c r="C345" s="112" t="str">
        <f>IF(SUM(Q345:R345,X345:Y345)=2,1+MAX($C$1:C344),"")</f>
        <v/>
      </c>
      <c r="D345" s="113">
        <v>34513</v>
      </c>
      <c r="E345" s="112">
        <v>1994</v>
      </c>
      <c r="F345" s="112" t="s">
        <v>2684</v>
      </c>
      <c r="G345" s="112" t="s">
        <v>2685</v>
      </c>
      <c r="H345" s="114" t="s">
        <v>2693</v>
      </c>
      <c r="I345" s="112">
        <f t="shared" si="80"/>
        <v>1</v>
      </c>
      <c r="J345" s="112">
        <f t="shared" si="81"/>
        <v>6</v>
      </c>
      <c r="K345" s="115" t="s">
        <v>2546</v>
      </c>
      <c r="L345" s="115" t="s">
        <v>2896</v>
      </c>
      <c r="M345" s="115" t="s">
        <v>2901</v>
      </c>
      <c r="N345" s="115">
        <v>74914</v>
      </c>
      <c r="O345" s="112">
        <v>2</v>
      </c>
      <c r="P345" s="116" t="s">
        <v>2873</v>
      </c>
      <c r="Q345" s="112" t="str">
        <f t="shared" si="82"/>
        <v/>
      </c>
      <c r="R345" s="112" t="str">
        <f t="shared" si="83"/>
        <v/>
      </c>
      <c r="S345" s="112" t="str">
        <f t="shared" si="86"/>
        <v/>
      </c>
      <c r="T345" s="112" t="str">
        <f t="shared" si="87"/>
        <v/>
      </c>
      <c r="U345" s="112" t="str">
        <f t="shared" si="88"/>
        <v/>
      </c>
      <c r="V345" s="112" t="str">
        <f t="shared" si="89"/>
        <v/>
      </c>
      <c r="W345" s="112" t="str">
        <f t="shared" si="90"/>
        <v/>
      </c>
      <c r="X345" s="112" t="str">
        <f t="shared" si="84"/>
        <v/>
      </c>
      <c r="Y345" s="112" t="str">
        <f t="shared" si="85"/>
        <v/>
      </c>
      <c r="Z345" s="112" t="str">
        <f t="shared" si="91"/>
        <v/>
      </c>
      <c r="AA345" s="112" t="str">
        <f t="shared" si="92"/>
        <v/>
      </c>
      <c r="AB345" s="112" t="str">
        <f t="shared" si="93"/>
        <v/>
      </c>
      <c r="AC345" s="112" t="str">
        <f t="shared" si="94"/>
        <v/>
      </c>
      <c r="AD345" s="112" t="str">
        <f t="shared" si="95"/>
        <v/>
      </c>
    </row>
    <row r="346" spans="1:30" x14ac:dyDescent="0.2">
      <c r="A346" s="112" t="str">
        <f>IF(SUM(Q346:R346)=1,1+MAX($A$1:A345),"")</f>
        <v/>
      </c>
      <c r="B346" s="112" t="str">
        <f>IF(SUM(X346:Y346)=1,1+MAX($B$1:B345),"")</f>
        <v/>
      </c>
      <c r="C346" s="112" t="str">
        <f>IF(SUM(Q346:R346,X346:Y346)=2,1+MAX($C$1:C345),"")</f>
        <v/>
      </c>
      <c r="D346" s="113">
        <v>34512</v>
      </c>
      <c r="E346" s="112">
        <v>1994</v>
      </c>
      <c r="F346" s="112" t="s">
        <v>2677</v>
      </c>
      <c r="G346" s="112" t="s">
        <v>2678</v>
      </c>
      <c r="H346" s="114" t="s">
        <v>2547</v>
      </c>
      <c r="I346" s="112">
        <f t="shared" si="80"/>
        <v>3</v>
      </c>
      <c r="J346" s="112">
        <f t="shared" si="81"/>
        <v>2</v>
      </c>
      <c r="K346" s="115" t="s">
        <v>2543</v>
      </c>
      <c r="L346" s="115" t="s">
        <v>2898</v>
      </c>
      <c r="M346" s="115" t="s">
        <v>2895</v>
      </c>
      <c r="N346" s="115">
        <v>63998</v>
      </c>
      <c r="O346" s="112">
        <v>2</v>
      </c>
      <c r="P346" s="116" t="s">
        <v>2664</v>
      </c>
      <c r="Q346" s="112" t="str">
        <f t="shared" si="82"/>
        <v/>
      </c>
      <c r="R346" s="112" t="str">
        <f t="shared" si="83"/>
        <v/>
      </c>
      <c r="S346" s="112" t="str">
        <f t="shared" si="86"/>
        <v/>
      </c>
      <c r="T346" s="112" t="str">
        <f t="shared" si="87"/>
        <v/>
      </c>
      <c r="U346" s="112" t="str">
        <f t="shared" si="88"/>
        <v/>
      </c>
      <c r="V346" s="112" t="str">
        <f t="shared" si="89"/>
        <v/>
      </c>
      <c r="W346" s="112" t="str">
        <f t="shared" si="90"/>
        <v/>
      </c>
      <c r="X346" s="112" t="str">
        <f t="shared" si="84"/>
        <v/>
      </c>
      <c r="Y346" s="112" t="str">
        <f t="shared" si="85"/>
        <v/>
      </c>
      <c r="Z346" s="112" t="str">
        <f t="shared" si="91"/>
        <v/>
      </c>
      <c r="AA346" s="112" t="str">
        <f t="shared" si="92"/>
        <v/>
      </c>
      <c r="AB346" s="112" t="str">
        <f t="shared" si="93"/>
        <v/>
      </c>
      <c r="AC346" s="112" t="str">
        <f t="shared" si="94"/>
        <v/>
      </c>
      <c r="AD346" s="112" t="str">
        <f t="shared" si="95"/>
        <v/>
      </c>
    </row>
    <row r="347" spans="1:30" x14ac:dyDescent="0.2">
      <c r="A347" s="112" t="str">
        <f>IF(SUM(Q347:R347)=1,1+MAX($A$1:A346),"")</f>
        <v/>
      </c>
      <c r="B347" s="112" t="str">
        <f>IF(SUM(X347:Y347)=1,1+MAX($B$1:B346),"")</f>
        <v/>
      </c>
      <c r="C347" s="112" t="str">
        <f>IF(SUM(Q347:R347,X347:Y347)=2,1+MAX($C$1:C346),"")</f>
        <v/>
      </c>
      <c r="D347" s="113">
        <v>34512</v>
      </c>
      <c r="E347" s="112">
        <v>1994</v>
      </c>
      <c r="F347" s="112" t="s">
        <v>2677</v>
      </c>
      <c r="G347" s="112" t="s">
        <v>2678</v>
      </c>
      <c r="H347" s="114" t="s">
        <v>2634</v>
      </c>
      <c r="I347" s="112">
        <f t="shared" si="80"/>
        <v>1</v>
      </c>
      <c r="J347" s="112">
        <f t="shared" si="81"/>
        <v>3</v>
      </c>
      <c r="K347" s="115" t="s">
        <v>2557</v>
      </c>
      <c r="L347" s="115" t="s">
        <v>2907</v>
      </c>
      <c r="M347" s="115" t="s">
        <v>2899</v>
      </c>
      <c r="N347" s="115">
        <v>63089</v>
      </c>
      <c r="O347" s="112">
        <v>2</v>
      </c>
      <c r="P347" s="116" t="s">
        <v>2691</v>
      </c>
      <c r="Q347" s="112" t="str">
        <f t="shared" si="82"/>
        <v/>
      </c>
      <c r="R347" s="112" t="str">
        <f t="shared" si="83"/>
        <v/>
      </c>
      <c r="S347" s="112" t="str">
        <f t="shared" si="86"/>
        <v/>
      </c>
      <c r="T347" s="112" t="str">
        <f t="shared" si="87"/>
        <v/>
      </c>
      <c r="U347" s="112" t="str">
        <f t="shared" si="88"/>
        <v/>
      </c>
      <c r="V347" s="112" t="str">
        <f t="shared" si="89"/>
        <v/>
      </c>
      <c r="W347" s="112" t="str">
        <f t="shared" si="90"/>
        <v/>
      </c>
      <c r="X347" s="112" t="str">
        <f t="shared" si="84"/>
        <v/>
      </c>
      <c r="Y347" s="112" t="str">
        <f t="shared" si="85"/>
        <v/>
      </c>
      <c r="Z347" s="112" t="str">
        <f t="shared" si="91"/>
        <v/>
      </c>
      <c r="AA347" s="112" t="str">
        <f t="shared" si="92"/>
        <v/>
      </c>
      <c r="AB347" s="112" t="str">
        <f t="shared" si="93"/>
        <v/>
      </c>
      <c r="AC347" s="112" t="str">
        <f t="shared" si="94"/>
        <v/>
      </c>
      <c r="AD347" s="112" t="str">
        <f t="shared" si="95"/>
        <v/>
      </c>
    </row>
    <row r="348" spans="1:30" x14ac:dyDescent="0.2">
      <c r="A348" s="112" t="str">
        <f>IF(SUM(Q348:R348)=1,1+MAX($A$1:A347),"")</f>
        <v/>
      </c>
      <c r="B348" s="112" t="str">
        <f>IF(SUM(X348:Y348)=1,1+MAX($B$1:B347),"")</f>
        <v/>
      </c>
      <c r="C348" s="112" t="str">
        <f>IF(SUM(Q348:R348,X348:Y348)=2,1+MAX($C$1:C347),"")</f>
        <v/>
      </c>
      <c r="D348" s="113">
        <v>34511</v>
      </c>
      <c r="E348" s="112">
        <v>1994</v>
      </c>
      <c r="F348" s="112" t="s">
        <v>2672</v>
      </c>
      <c r="G348" s="112" t="s">
        <v>2673</v>
      </c>
      <c r="H348" s="114" t="s">
        <v>2631</v>
      </c>
      <c r="I348" s="112">
        <f t="shared" si="80"/>
        <v>4</v>
      </c>
      <c r="J348" s="112">
        <f t="shared" si="81"/>
        <v>0</v>
      </c>
      <c r="K348" s="115" t="s">
        <v>2642</v>
      </c>
      <c r="L348" s="115" t="s">
        <v>2907</v>
      </c>
      <c r="M348" s="115" t="s">
        <v>2833</v>
      </c>
      <c r="N348" s="115">
        <v>63160</v>
      </c>
      <c r="O348" s="112">
        <v>2</v>
      </c>
      <c r="P348" s="116" t="s">
        <v>2710</v>
      </c>
      <c r="Q348" s="112" t="str">
        <f t="shared" si="82"/>
        <v/>
      </c>
      <c r="R348" s="112" t="str">
        <f t="shared" si="83"/>
        <v/>
      </c>
      <c r="S348" s="112" t="str">
        <f t="shared" si="86"/>
        <v/>
      </c>
      <c r="T348" s="112" t="str">
        <f t="shared" si="87"/>
        <v/>
      </c>
      <c r="U348" s="112" t="str">
        <f t="shared" si="88"/>
        <v/>
      </c>
      <c r="V348" s="112" t="str">
        <f t="shared" si="89"/>
        <v/>
      </c>
      <c r="W348" s="112" t="str">
        <f t="shared" si="90"/>
        <v/>
      </c>
      <c r="X348" s="112" t="str">
        <f t="shared" si="84"/>
        <v/>
      </c>
      <c r="Y348" s="112" t="str">
        <f t="shared" si="85"/>
        <v/>
      </c>
      <c r="Z348" s="112" t="str">
        <f t="shared" si="91"/>
        <v/>
      </c>
      <c r="AA348" s="112" t="str">
        <f t="shared" si="92"/>
        <v/>
      </c>
      <c r="AB348" s="112" t="str">
        <f t="shared" si="93"/>
        <v/>
      </c>
      <c r="AC348" s="112" t="str">
        <f t="shared" si="94"/>
        <v/>
      </c>
      <c r="AD348" s="112" t="str">
        <f t="shared" si="95"/>
        <v/>
      </c>
    </row>
    <row r="349" spans="1:30" x14ac:dyDescent="0.2">
      <c r="A349" s="112" t="str">
        <f>IF(SUM(Q349:R349)=1,1+MAX($A$1:A348),"")</f>
        <v/>
      </c>
      <c r="B349" s="112" t="str">
        <f>IF(SUM(X349:Y349)=1,1+MAX($B$1:B348),"")</f>
        <v/>
      </c>
      <c r="C349" s="112" t="str">
        <f>IF(SUM(Q349:R349,X349:Y349)=2,1+MAX($C$1:C348),"")</f>
        <v/>
      </c>
      <c r="D349" s="113">
        <v>34511</v>
      </c>
      <c r="E349" s="112">
        <v>1994</v>
      </c>
      <c r="F349" s="112" t="s">
        <v>2689</v>
      </c>
      <c r="G349" s="112" t="s">
        <v>2690</v>
      </c>
      <c r="H349" s="114" t="s">
        <v>2711</v>
      </c>
      <c r="I349" s="112">
        <f t="shared" si="80"/>
        <v>1</v>
      </c>
      <c r="J349" s="112">
        <f t="shared" si="81"/>
        <v>0</v>
      </c>
      <c r="K349" s="115" t="s">
        <v>2614</v>
      </c>
      <c r="L349" s="115" t="s">
        <v>2891</v>
      </c>
      <c r="M349" s="115" t="s">
        <v>2872</v>
      </c>
      <c r="N349" s="115">
        <v>93869</v>
      </c>
      <c r="O349" s="112">
        <v>2</v>
      </c>
      <c r="P349" s="116" t="s">
        <v>2622</v>
      </c>
      <c r="Q349" s="112" t="str">
        <f t="shared" si="82"/>
        <v/>
      </c>
      <c r="R349" s="112" t="str">
        <f t="shared" si="83"/>
        <v/>
      </c>
      <c r="S349" s="112" t="str">
        <f t="shared" si="86"/>
        <v/>
      </c>
      <c r="T349" s="112" t="str">
        <f t="shared" si="87"/>
        <v/>
      </c>
      <c r="U349" s="112" t="str">
        <f t="shared" si="88"/>
        <v/>
      </c>
      <c r="V349" s="112" t="str">
        <f t="shared" si="89"/>
        <v/>
      </c>
      <c r="W349" s="112" t="str">
        <f t="shared" si="90"/>
        <v/>
      </c>
      <c r="X349" s="112" t="str">
        <f t="shared" si="84"/>
        <v/>
      </c>
      <c r="Y349" s="112" t="str">
        <f t="shared" si="85"/>
        <v/>
      </c>
      <c r="Z349" s="112" t="str">
        <f t="shared" si="91"/>
        <v/>
      </c>
      <c r="AA349" s="112" t="str">
        <f t="shared" si="92"/>
        <v/>
      </c>
      <c r="AB349" s="112" t="str">
        <f t="shared" si="93"/>
        <v/>
      </c>
      <c r="AC349" s="112" t="str">
        <f t="shared" si="94"/>
        <v/>
      </c>
      <c r="AD349" s="112" t="str">
        <f t="shared" si="95"/>
        <v/>
      </c>
    </row>
    <row r="350" spans="1:30" x14ac:dyDescent="0.2">
      <c r="A350" s="112" t="str">
        <f>IF(SUM(Q350:R350)=1,1+MAX($A$1:A349),"")</f>
        <v/>
      </c>
      <c r="B350" s="112" t="str">
        <f>IF(SUM(X350:Y350)=1,1+MAX($B$1:B349),"")</f>
        <v/>
      </c>
      <c r="C350" s="112" t="str">
        <f>IF(SUM(Q350:R350,X350:Y350)=2,1+MAX($C$1:C349),"")</f>
        <v/>
      </c>
      <c r="D350" s="113">
        <v>34511</v>
      </c>
      <c r="E350" s="112">
        <v>1994</v>
      </c>
      <c r="F350" s="112" t="s">
        <v>2689</v>
      </c>
      <c r="G350" s="112" t="s">
        <v>2690</v>
      </c>
      <c r="H350" s="114" t="s">
        <v>1347</v>
      </c>
      <c r="I350" s="112">
        <f t="shared" si="80"/>
        <v>2</v>
      </c>
      <c r="J350" s="112">
        <f t="shared" si="81"/>
        <v>0</v>
      </c>
      <c r="K350" s="115" t="s">
        <v>2558</v>
      </c>
      <c r="L350" s="115" t="s">
        <v>2896</v>
      </c>
      <c r="M350" s="115" t="s">
        <v>2903</v>
      </c>
      <c r="N350" s="115">
        <v>83401</v>
      </c>
      <c r="O350" s="112">
        <v>2</v>
      </c>
      <c r="P350" s="116" t="s">
        <v>2641</v>
      </c>
      <c r="Q350" s="112" t="str">
        <f t="shared" si="82"/>
        <v/>
      </c>
      <c r="R350" s="112" t="str">
        <f t="shared" si="83"/>
        <v/>
      </c>
      <c r="S350" s="112" t="str">
        <f t="shared" si="86"/>
        <v/>
      </c>
      <c r="T350" s="112" t="str">
        <f t="shared" si="87"/>
        <v/>
      </c>
      <c r="U350" s="112" t="str">
        <f t="shared" si="88"/>
        <v/>
      </c>
      <c r="V350" s="112" t="str">
        <f t="shared" si="89"/>
        <v/>
      </c>
      <c r="W350" s="112" t="str">
        <f t="shared" si="90"/>
        <v/>
      </c>
      <c r="X350" s="112" t="str">
        <f t="shared" si="84"/>
        <v/>
      </c>
      <c r="Y350" s="112" t="str">
        <f t="shared" si="85"/>
        <v/>
      </c>
      <c r="Z350" s="112" t="str">
        <f t="shared" si="91"/>
        <v/>
      </c>
      <c r="AA350" s="112" t="str">
        <f t="shared" si="92"/>
        <v/>
      </c>
      <c r="AB350" s="112" t="str">
        <f t="shared" si="93"/>
        <v/>
      </c>
      <c r="AC350" s="112" t="str">
        <f t="shared" si="94"/>
        <v/>
      </c>
      <c r="AD350" s="112" t="str">
        <f t="shared" si="95"/>
        <v/>
      </c>
    </row>
    <row r="351" spans="1:30" x14ac:dyDescent="0.2">
      <c r="A351" s="112" t="str">
        <f>IF(SUM(Q351:R351)=1,1+MAX($A$1:A350),"")</f>
        <v/>
      </c>
      <c r="B351" s="112" t="str">
        <f>IF(SUM(X351:Y351)=1,1+MAX($B$1:B350),"")</f>
        <v/>
      </c>
      <c r="C351" s="112" t="str">
        <f>IF(SUM(Q351:R351,X351:Y351)=2,1+MAX($C$1:C350),"")</f>
        <v/>
      </c>
      <c r="D351" s="113">
        <v>34510</v>
      </c>
      <c r="E351" s="112">
        <v>1994</v>
      </c>
      <c r="F351" s="112" t="s">
        <v>2661</v>
      </c>
      <c r="G351" s="112" t="s">
        <v>2662</v>
      </c>
      <c r="H351" s="114" t="s">
        <v>2554</v>
      </c>
      <c r="I351" s="112">
        <f t="shared" si="80"/>
        <v>1</v>
      </c>
      <c r="J351" s="112">
        <f t="shared" si="81"/>
        <v>0</v>
      </c>
      <c r="K351" s="115" t="s">
        <v>2604</v>
      </c>
      <c r="L351" s="115" t="s">
        <v>2902</v>
      </c>
      <c r="M351" s="115" t="s">
        <v>2905</v>
      </c>
      <c r="N351" s="115">
        <v>62387</v>
      </c>
      <c r="O351" s="112">
        <v>2</v>
      </c>
      <c r="P351" s="116" t="s">
        <v>2622</v>
      </c>
      <c r="Q351" s="112" t="str">
        <f t="shared" si="82"/>
        <v/>
      </c>
      <c r="R351" s="112" t="str">
        <f t="shared" si="83"/>
        <v/>
      </c>
      <c r="S351" s="112" t="str">
        <f t="shared" si="86"/>
        <v/>
      </c>
      <c r="T351" s="112" t="str">
        <f t="shared" si="87"/>
        <v/>
      </c>
      <c r="U351" s="112" t="str">
        <f t="shared" si="88"/>
        <v/>
      </c>
      <c r="V351" s="112" t="str">
        <f t="shared" si="89"/>
        <v/>
      </c>
      <c r="W351" s="112" t="str">
        <f t="shared" si="90"/>
        <v/>
      </c>
      <c r="X351" s="112" t="str">
        <f t="shared" si="84"/>
        <v/>
      </c>
      <c r="Y351" s="112" t="str">
        <f t="shared" si="85"/>
        <v/>
      </c>
      <c r="Z351" s="112" t="str">
        <f t="shared" si="91"/>
        <v/>
      </c>
      <c r="AA351" s="112" t="str">
        <f t="shared" si="92"/>
        <v/>
      </c>
      <c r="AB351" s="112" t="str">
        <f t="shared" si="93"/>
        <v/>
      </c>
      <c r="AC351" s="112" t="str">
        <f t="shared" si="94"/>
        <v/>
      </c>
      <c r="AD351" s="112" t="str">
        <f t="shared" si="95"/>
        <v/>
      </c>
    </row>
    <row r="352" spans="1:30" x14ac:dyDescent="0.2">
      <c r="A352" s="112" t="str">
        <f>IF(SUM(Q352:R352)=1,1+MAX($A$1:A351),"")</f>
        <v/>
      </c>
      <c r="B352" s="112" t="str">
        <f>IF(SUM(X352:Y352)=1,1+MAX($B$1:B351),"")</f>
        <v/>
      </c>
      <c r="C352" s="112" t="str">
        <f>IF(SUM(Q352:R352,X352:Y352)=2,1+MAX($C$1:C351),"")</f>
        <v/>
      </c>
      <c r="D352" s="113">
        <v>34510</v>
      </c>
      <c r="E352" s="112">
        <v>1994</v>
      </c>
      <c r="F352" s="112" t="s">
        <v>2661</v>
      </c>
      <c r="G352" s="112" t="s">
        <v>2662</v>
      </c>
      <c r="H352" s="114" t="s">
        <v>2555</v>
      </c>
      <c r="I352" s="112">
        <f t="shared" si="80"/>
        <v>1</v>
      </c>
      <c r="J352" s="112">
        <f t="shared" si="81"/>
        <v>2</v>
      </c>
      <c r="K352" s="115" t="s">
        <v>2559</v>
      </c>
      <c r="L352" s="115" t="s">
        <v>2894</v>
      </c>
      <c r="M352" s="115" t="s">
        <v>2897</v>
      </c>
      <c r="N352" s="115">
        <v>76322</v>
      </c>
      <c r="O352" s="112">
        <v>2</v>
      </c>
      <c r="P352" s="116" t="s">
        <v>2638</v>
      </c>
      <c r="Q352" s="112" t="str">
        <f t="shared" si="82"/>
        <v/>
      </c>
      <c r="R352" s="112" t="str">
        <f t="shared" si="83"/>
        <v/>
      </c>
      <c r="S352" s="112" t="str">
        <f t="shared" si="86"/>
        <v/>
      </c>
      <c r="T352" s="112" t="str">
        <f t="shared" si="87"/>
        <v/>
      </c>
      <c r="U352" s="112" t="str">
        <f t="shared" si="88"/>
        <v/>
      </c>
      <c r="V352" s="112" t="str">
        <f t="shared" si="89"/>
        <v/>
      </c>
      <c r="W352" s="112" t="str">
        <f t="shared" si="90"/>
        <v/>
      </c>
      <c r="X352" s="112" t="str">
        <f t="shared" si="84"/>
        <v/>
      </c>
      <c r="Y352" s="112" t="str">
        <f t="shared" si="85"/>
        <v/>
      </c>
      <c r="Z352" s="112" t="str">
        <f t="shared" si="91"/>
        <v/>
      </c>
      <c r="AA352" s="112" t="str">
        <f t="shared" si="92"/>
        <v/>
      </c>
      <c r="AB352" s="112" t="str">
        <f t="shared" si="93"/>
        <v/>
      </c>
      <c r="AC352" s="112" t="str">
        <f t="shared" si="94"/>
        <v/>
      </c>
      <c r="AD352" s="112" t="str">
        <f t="shared" si="95"/>
        <v/>
      </c>
    </row>
    <row r="353" spans="1:30" x14ac:dyDescent="0.2">
      <c r="A353" s="112" t="str">
        <f>IF(SUM(Q353:R353)=1,1+MAX($A$1:A352),"")</f>
        <v/>
      </c>
      <c r="B353" s="112">
        <f>IF(SUM(X353:Y353)=1,1+MAX($B$1:B352),"")</f>
        <v>28</v>
      </c>
      <c r="C353" s="112" t="str">
        <f>IF(SUM(Q353:R353,X353:Y353)=2,1+MAX($C$1:C352),"")</f>
        <v/>
      </c>
      <c r="D353" s="113">
        <v>34510</v>
      </c>
      <c r="E353" s="112">
        <v>1994</v>
      </c>
      <c r="F353" s="112" t="s">
        <v>2672</v>
      </c>
      <c r="G353" s="112" t="s">
        <v>2673</v>
      </c>
      <c r="H353" s="114" t="s">
        <v>1134</v>
      </c>
      <c r="I353" s="112">
        <f t="shared" si="80"/>
        <v>2</v>
      </c>
      <c r="J353" s="112">
        <f t="shared" si="81"/>
        <v>1</v>
      </c>
      <c r="K353" s="115" t="s">
        <v>2542</v>
      </c>
      <c r="L353" s="115" t="s">
        <v>2900</v>
      </c>
      <c r="M353" s="115" t="s">
        <v>2915</v>
      </c>
      <c r="N353" s="115">
        <v>54453</v>
      </c>
      <c r="O353" s="112">
        <v>2</v>
      </c>
      <c r="P353" s="116" t="s">
        <v>2626</v>
      </c>
      <c r="Q353" s="112" t="str">
        <f t="shared" si="82"/>
        <v/>
      </c>
      <c r="R353" s="112" t="str">
        <f t="shared" si="83"/>
        <v/>
      </c>
      <c r="S353" s="112" t="str">
        <f t="shared" si="86"/>
        <v/>
      </c>
      <c r="T353" s="112" t="str">
        <f t="shared" si="87"/>
        <v/>
      </c>
      <c r="U353" s="112" t="str">
        <f t="shared" si="88"/>
        <v/>
      </c>
      <c r="V353" s="112" t="str">
        <f t="shared" si="89"/>
        <v/>
      </c>
      <c r="W353" s="112" t="str">
        <f t="shared" si="90"/>
        <v/>
      </c>
      <c r="X353" s="112">
        <f t="shared" si="84"/>
        <v>1</v>
      </c>
      <c r="Y353" s="112" t="str">
        <f t="shared" si="85"/>
        <v/>
      </c>
      <c r="Z353" s="112">
        <f t="shared" si="91"/>
        <v>1</v>
      </c>
      <c r="AA353" s="112">
        <f t="shared" si="92"/>
        <v>0</v>
      </c>
      <c r="AB353" s="112">
        <f t="shared" si="93"/>
        <v>0</v>
      </c>
      <c r="AC353" s="112">
        <f t="shared" si="94"/>
        <v>3</v>
      </c>
      <c r="AD353" s="112">
        <f t="shared" si="95"/>
        <v>1</v>
      </c>
    </row>
    <row r="354" spans="1:30" x14ac:dyDescent="0.2">
      <c r="A354" s="112" t="str">
        <f>IF(SUM(Q354:R354)=1,1+MAX($A$1:A353),"")</f>
        <v/>
      </c>
      <c r="B354" s="112" t="str">
        <f>IF(SUM(X354:Y354)=1,1+MAX($B$1:B353),"")</f>
        <v/>
      </c>
      <c r="C354" s="112" t="str">
        <f>IF(SUM(Q354:R354,X354:Y354)=2,1+MAX($C$1:C353),"")</f>
        <v/>
      </c>
      <c r="D354" s="113">
        <v>34509</v>
      </c>
      <c r="E354" s="112">
        <v>1994</v>
      </c>
      <c r="F354" s="112" t="s">
        <v>2666</v>
      </c>
      <c r="G354" s="112" t="s">
        <v>2667</v>
      </c>
      <c r="H354" s="114" t="s">
        <v>2676</v>
      </c>
      <c r="I354" s="112">
        <f t="shared" si="80"/>
        <v>1</v>
      </c>
      <c r="J354" s="112">
        <f t="shared" si="81"/>
        <v>2</v>
      </c>
      <c r="K354" s="115" t="s">
        <v>1061</v>
      </c>
      <c r="L354" s="115" t="s">
        <v>2902</v>
      </c>
      <c r="M354" s="115" t="s">
        <v>2908</v>
      </c>
      <c r="N354" s="115">
        <v>60790</v>
      </c>
      <c r="O354" s="112">
        <v>2</v>
      </c>
      <c r="P354" s="116" t="s">
        <v>2638</v>
      </c>
      <c r="Q354" s="112" t="str">
        <f t="shared" si="82"/>
        <v/>
      </c>
      <c r="R354" s="112" t="str">
        <f t="shared" si="83"/>
        <v/>
      </c>
      <c r="S354" s="112" t="str">
        <f t="shared" si="86"/>
        <v/>
      </c>
      <c r="T354" s="112" t="str">
        <f t="shared" si="87"/>
        <v/>
      </c>
      <c r="U354" s="112" t="str">
        <f t="shared" si="88"/>
        <v/>
      </c>
      <c r="V354" s="112" t="str">
        <f t="shared" si="89"/>
        <v/>
      </c>
      <c r="W354" s="112" t="str">
        <f t="shared" si="90"/>
        <v/>
      </c>
      <c r="X354" s="112" t="str">
        <f t="shared" si="84"/>
        <v/>
      </c>
      <c r="Y354" s="112" t="str">
        <f t="shared" si="85"/>
        <v/>
      </c>
      <c r="Z354" s="112" t="str">
        <f t="shared" si="91"/>
        <v/>
      </c>
      <c r="AA354" s="112" t="str">
        <f t="shared" si="92"/>
        <v/>
      </c>
      <c r="AB354" s="112" t="str">
        <f t="shared" si="93"/>
        <v/>
      </c>
      <c r="AC354" s="112" t="str">
        <f t="shared" si="94"/>
        <v/>
      </c>
      <c r="AD354" s="112" t="str">
        <f t="shared" si="95"/>
        <v/>
      </c>
    </row>
    <row r="355" spans="1:30" x14ac:dyDescent="0.2">
      <c r="A355" s="112" t="str">
        <f>IF(SUM(Q355:R355)=1,1+MAX($A$1:A354),"")</f>
        <v/>
      </c>
      <c r="B355" s="112" t="str">
        <f>IF(SUM(X355:Y355)=1,1+MAX($B$1:B354),"")</f>
        <v/>
      </c>
      <c r="C355" s="112" t="str">
        <f>IF(SUM(Q355:R355,X355:Y355)=2,1+MAX($C$1:C354),"")</f>
        <v/>
      </c>
      <c r="D355" s="113">
        <v>34509</v>
      </c>
      <c r="E355" s="112">
        <v>1994</v>
      </c>
      <c r="F355" s="112" t="s">
        <v>2684</v>
      </c>
      <c r="G355" s="112" t="s">
        <v>2685</v>
      </c>
      <c r="H355" s="114" t="s">
        <v>2546</v>
      </c>
      <c r="I355" s="112">
        <f t="shared" si="80"/>
        <v>1</v>
      </c>
      <c r="J355" s="112">
        <f t="shared" si="81"/>
        <v>2</v>
      </c>
      <c r="K355" s="115" t="s">
        <v>2549</v>
      </c>
      <c r="L355" s="115" t="s">
        <v>2914</v>
      </c>
      <c r="M355" s="115" t="s">
        <v>2895</v>
      </c>
      <c r="N355" s="115">
        <v>71528</v>
      </c>
      <c r="O355" s="112">
        <v>2</v>
      </c>
      <c r="P355" s="116" t="s">
        <v>2638</v>
      </c>
      <c r="Q355" s="112" t="str">
        <f t="shared" si="82"/>
        <v/>
      </c>
      <c r="R355" s="112" t="str">
        <f t="shared" si="83"/>
        <v/>
      </c>
      <c r="S355" s="112" t="str">
        <f t="shared" si="86"/>
        <v/>
      </c>
      <c r="T355" s="112" t="str">
        <f t="shared" si="87"/>
        <v/>
      </c>
      <c r="U355" s="112" t="str">
        <f t="shared" si="88"/>
        <v/>
      </c>
      <c r="V355" s="112" t="str">
        <f t="shared" si="89"/>
        <v/>
      </c>
      <c r="W355" s="112" t="str">
        <f t="shared" si="90"/>
        <v/>
      </c>
      <c r="X355" s="112" t="str">
        <f t="shared" si="84"/>
        <v/>
      </c>
      <c r="Y355" s="112" t="str">
        <f t="shared" si="85"/>
        <v/>
      </c>
      <c r="Z355" s="112" t="str">
        <f t="shared" si="91"/>
        <v/>
      </c>
      <c r="AA355" s="112" t="str">
        <f t="shared" si="92"/>
        <v/>
      </c>
      <c r="AB355" s="112" t="str">
        <f t="shared" si="93"/>
        <v/>
      </c>
      <c r="AC355" s="112" t="str">
        <f t="shared" si="94"/>
        <v/>
      </c>
      <c r="AD355" s="112" t="str">
        <f t="shared" si="95"/>
        <v/>
      </c>
    </row>
    <row r="356" spans="1:30" x14ac:dyDescent="0.2">
      <c r="A356" s="112" t="str">
        <f>IF(SUM(Q356:R356)=1,1+MAX($A$1:A355),"")</f>
        <v/>
      </c>
      <c r="B356" s="112" t="str">
        <f>IF(SUM(X356:Y356)=1,1+MAX($B$1:B355),"")</f>
        <v/>
      </c>
      <c r="C356" s="112" t="str">
        <f>IF(SUM(Q356:R356,X356:Y356)=2,1+MAX($C$1:C355),"")</f>
        <v/>
      </c>
      <c r="D356" s="113">
        <v>34509</v>
      </c>
      <c r="E356" s="112">
        <v>1994</v>
      </c>
      <c r="F356" s="112" t="s">
        <v>2684</v>
      </c>
      <c r="G356" s="112" t="s">
        <v>2685</v>
      </c>
      <c r="H356" s="114" t="s">
        <v>1442</v>
      </c>
      <c r="I356" s="112">
        <f t="shared" si="80"/>
        <v>3</v>
      </c>
      <c r="J356" s="112">
        <f t="shared" si="81"/>
        <v>0</v>
      </c>
      <c r="K356" s="115" t="s">
        <v>2693</v>
      </c>
      <c r="L356" s="115" t="s">
        <v>2896</v>
      </c>
      <c r="M356" s="115" t="s">
        <v>2857</v>
      </c>
      <c r="N356" s="115">
        <v>83401</v>
      </c>
      <c r="O356" s="112">
        <v>2</v>
      </c>
      <c r="P356" s="116" t="s">
        <v>2713</v>
      </c>
      <c r="Q356" s="112" t="str">
        <f t="shared" si="82"/>
        <v/>
      </c>
      <c r="R356" s="112" t="str">
        <f t="shared" si="83"/>
        <v/>
      </c>
      <c r="S356" s="112" t="str">
        <f t="shared" si="86"/>
        <v/>
      </c>
      <c r="T356" s="112" t="str">
        <f t="shared" si="87"/>
        <v/>
      </c>
      <c r="U356" s="112" t="str">
        <f t="shared" si="88"/>
        <v/>
      </c>
      <c r="V356" s="112" t="str">
        <f t="shared" si="89"/>
        <v/>
      </c>
      <c r="W356" s="112" t="str">
        <f t="shared" si="90"/>
        <v/>
      </c>
      <c r="X356" s="112" t="str">
        <f t="shared" si="84"/>
        <v/>
      </c>
      <c r="Y356" s="112" t="str">
        <f t="shared" si="85"/>
        <v/>
      </c>
      <c r="Z356" s="112" t="str">
        <f t="shared" si="91"/>
        <v/>
      </c>
      <c r="AA356" s="112" t="str">
        <f t="shared" si="92"/>
        <v/>
      </c>
      <c r="AB356" s="112" t="str">
        <f t="shared" si="93"/>
        <v/>
      </c>
      <c r="AC356" s="112" t="str">
        <f t="shared" si="94"/>
        <v/>
      </c>
      <c r="AD356" s="112" t="str">
        <f t="shared" si="95"/>
        <v/>
      </c>
    </row>
    <row r="357" spans="1:30" x14ac:dyDescent="0.2">
      <c r="A357" s="112" t="str">
        <f>IF(SUM(Q357:R357)=1,1+MAX($A$1:A356),"")</f>
        <v/>
      </c>
      <c r="B357" s="112" t="str">
        <f>IF(SUM(X357:Y357)=1,1+MAX($B$1:B356),"")</f>
        <v/>
      </c>
      <c r="C357" s="112" t="str">
        <f>IF(SUM(Q357:R357,X357:Y357)=2,1+MAX($C$1:C356),"")</f>
        <v/>
      </c>
      <c r="D357" s="113">
        <v>34508</v>
      </c>
      <c r="E357" s="112">
        <v>1994</v>
      </c>
      <c r="F357" s="112" t="s">
        <v>2666</v>
      </c>
      <c r="G357" s="112" t="s">
        <v>2667</v>
      </c>
      <c r="H357" s="114" t="s">
        <v>2674</v>
      </c>
      <c r="I357" s="112">
        <f t="shared" si="80"/>
        <v>1</v>
      </c>
      <c r="J357" s="112">
        <f t="shared" si="81"/>
        <v>0</v>
      </c>
      <c r="K357" s="115" t="s">
        <v>2707</v>
      </c>
      <c r="L357" s="115" t="s">
        <v>2894</v>
      </c>
      <c r="M357" s="115" t="s">
        <v>2912</v>
      </c>
      <c r="N357" s="115">
        <v>74624</v>
      </c>
      <c r="O357" s="112">
        <v>2</v>
      </c>
      <c r="P357" s="116" t="s">
        <v>2622</v>
      </c>
      <c r="Q357" s="112" t="str">
        <f t="shared" si="82"/>
        <v/>
      </c>
      <c r="R357" s="112" t="str">
        <f t="shared" si="83"/>
        <v/>
      </c>
      <c r="S357" s="112" t="str">
        <f t="shared" si="86"/>
        <v/>
      </c>
      <c r="T357" s="112" t="str">
        <f t="shared" si="87"/>
        <v/>
      </c>
      <c r="U357" s="112" t="str">
        <f t="shared" si="88"/>
        <v/>
      </c>
      <c r="V357" s="112" t="str">
        <f t="shared" si="89"/>
        <v/>
      </c>
      <c r="W357" s="112" t="str">
        <f t="shared" si="90"/>
        <v/>
      </c>
      <c r="X357" s="112" t="str">
        <f t="shared" si="84"/>
        <v/>
      </c>
      <c r="Y357" s="112" t="str">
        <f t="shared" si="85"/>
        <v/>
      </c>
      <c r="Z357" s="112" t="str">
        <f t="shared" si="91"/>
        <v/>
      </c>
      <c r="AA357" s="112" t="str">
        <f t="shared" si="92"/>
        <v/>
      </c>
      <c r="AB357" s="112" t="str">
        <f t="shared" si="93"/>
        <v/>
      </c>
      <c r="AC357" s="112" t="str">
        <f t="shared" si="94"/>
        <v/>
      </c>
      <c r="AD357" s="112" t="str">
        <f t="shared" si="95"/>
        <v/>
      </c>
    </row>
    <row r="358" spans="1:30" x14ac:dyDescent="0.2">
      <c r="A358" s="112" t="str">
        <f>IF(SUM(Q358:R358)=1,1+MAX($A$1:A357),"")</f>
        <v/>
      </c>
      <c r="B358" s="112" t="str">
        <f>IF(SUM(X358:Y358)=1,1+MAX($B$1:B357),"")</f>
        <v/>
      </c>
      <c r="C358" s="112" t="str">
        <f>IF(SUM(Q358:R358,X358:Y358)=2,1+MAX($C$1:C357),"")</f>
        <v/>
      </c>
      <c r="D358" s="113">
        <v>34508</v>
      </c>
      <c r="E358" s="112">
        <v>1994</v>
      </c>
      <c r="F358" s="112" t="s">
        <v>2677</v>
      </c>
      <c r="G358" s="112" t="s">
        <v>2678</v>
      </c>
      <c r="H358" s="114" t="s">
        <v>2634</v>
      </c>
      <c r="I358" s="112">
        <f t="shared" si="80"/>
        <v>0</v>
      </c>
      <c r="J358" s="112">
        <f t="shared" si="81"/>
        <v>0</v>
      </c>
      <c r="K358" s="115" t="s">
        <v>2543</v>
      </c>
      <c r="L358" s="115" t="s">
        <v>2900</v>
      </c>
      <c r="M358" s="115" t="s">
        <v>2909</v>
      </c>
      <c r="N358" s="115">
        <v>54453</v>
      </c>
      <c r="O358" s="112">
        <v>2</v>
      </c>
      <c r="P358" s="116" t="s">
        <v>2613</v>
      </c>
      <c r="Q358" s="112" t="str">
        <f t="shared" si="82"/>
        <v/>
      </c>
      <c r="R358" s="112" t="str">
        <f t="shared" si="83"/>
        <v/>
      </c>
      <c r="S358" s="112" t="str">
        <f t="shared" si="86"/>
        <v/>
      </c>
      <c r="T358" s="112" t="str">
        <f t="shared" si="87"/>
        <v/>
      </c>
      <c r="U358" s="112" t="str">
        <f t="shared" si="88"/>
        <v/>
      </c>
      <c r="V358" s="112" t="str">
        <f t="shared" si="89"/>
        <v/>
      </c>
      <c r="W358" s="112" t="str">
        <f t="shared" si="90"/>
        <v/>
      </c>
      <c r="X358" s="112" t="str">
        <f t="shared" si="84"/>
        <v/>
      </c>
      <c r="Y358" s="112" t="str">
        <f t="shared" si="85"/>
        <v/>
      </c>
      <c r="Z358" s="112" t="str">
        <f t="shared" si="91"/>
        <v/>
      </c>
      <c r="AA358" s="112" t="str">
        <f t="shared" si="92"/>
        <v/>
      </c>
      <c r="AB358" s="112" t="str">
        <f t="shared" si="93"/>
        <v/>
      </c>
      <c r="AC358" s="112" t="str">
        <f t="shared" si="94"/>
        <v/>
      </c>
      <c r="AD358" s="112" t="str">
        <f t="shared" si="95"/>
        <v/>
      </c>
    </row>
    <row r="359" spans="1:30" x14ac:dyDescent="0.2">
      <c r="A359" s="112" t="str">
        <f>IF(SUM(Q359:R359)=1,1+MAX($A$1:A358),"")</f>
        <v/>
      </c>
      <c r="B359" s="112" t="str">
        <f>IF(SUM(X359:Y359)=1,1+MAX($B$1:B358),"")</f>
        <v/>
      </c>
      <c r="C359" s="112" t="str">
        <f>IF(SUM(Q359:R359,X359:Y359)=2,1+MAX($C$1:C358),"")</f>
        <v/>
      </c>
      <c r="D359" s="113">
        <v>34507</v>
      </c>
      <c r="E359" s="112">
        <v>1994</v>
      </c>
      <c r="F359" s="112" t="s">
        <v>2689</v>
      </c>
      <c r="G359" s="112" t="s">
        <v>2690</v>
      </c>
      <c r="H359" s="114" t="s">
        <v>1347</v>
      </c>
      <c r="I359" s="112">
        <f t="shared" si="80"/>
        <v>1</v>
      </c>
      <c r="J359" s="112">
        <f t="shared" si="81"/>
        <v>2</v>
      </c>
      <c r="K359" s="115" t="s">
        <v>2614</v>
      </c>
      <c r="L359" s="115" t="s">
        <v>2891</v>
      </c>
      <c r="M359" s="115" t="s">
        <v>2916</v>
      </c>
      <c r="N359" s="115">
        <v>93869</v>
      </c>
      <c r="O359" s="112">
        <v>2</v>
      </c>
      <c r="P359" s="116" t="s">
        <v>2638</v>
      </c>
      <c r="Q359" s="112" t="str">
        <f t="shared" si="82"/>
        <v/>
      </c>
      <c r="R359" s="112" t="str">
        <f t="shared" si="83"/>
        <v/>
      </c>
      <c r="S359" s="112" t="str">
        <f t="shared" si="86"/>
        <v/>
      </c>
      <c r="T359" s="112" t="str">
        <f t="shared" si="87"/>
        <v/>
      </c>
      <c r="U359" s="112" t="str">
        <f t="shared" si="88"/>
        <v/>
      </c>
      <c r="V359" s="112" t="str">
        <f t="shared" si="89"/>
        <v/>
      </c>
      <c r="W359" s="112" t="str">
        <f t="shared" si="90"/>
        <v/>
      </c>
      <c r="X359" s="112" t="str">
        <f t="shared" si="84"/>
        <v/>
      </c>
      <c r="Y359" s="112" t="str">
        <f t="shared" si="85"/>
        <v/>
      </c>
      <c r="Z359" s="112" t="str">
        <f t="shared" si="91"/>
        <v/>
      </c>
      <c r="AA359" s="112" t="str">
        <f t="shared" si="92"/>
        <v/>
      </c>
      <c r="AB359" s="112" t="str">
        <f t="shared" si="93"/>
        <v/>
      </c>
      <c r="AC359" s="112" t="str">
        <f t="shared" si="94"/>
        <v/>
      </c>
      <c r="AD359" s="112" t="str">
        <f t="shared" si="95"/>
        <v/>
      </c>
    </row>
    <row r="360" spans="1:30" x14ac:dyDescent="0.2">
      <c r="A360" s="112" t="str">
        <f>IF(SUM(Q360:R360)=1,1+MAX($A$1:A359),"")</f>
        <v/>
      </c>
      <c r="B360" s="112" t="str">
        <f>IF(SUM(X360:Y360)=1,1+MAX($B$1:B359),"")</f>
        <v/>
      </c>
      <c r="C360" s="112" t="str">
        <f>IF(SUM(Q360:R360,X360:Y360)=2,1+MAX($C$1:C359),"")</f>
        <v/>
      </c>
      <c r="D360" s="113">
        <v>34507</v>
      </c>
      <c r="E360" s="112">
        <v>1994</v>
      </c>
      <c r="F360" s="112" t="s">
        <v>2689</v>
      </c>
      <c r="G360" s="112" t="s">
        <v>2690</v>
      </c>
      <c r="H360" s="114" t="s">
        <v>2711</v>
      </c>
      <c r="I360" s="112">
        <f t="shared" si="80"/>
        <v>1</v>
      </c>
      <c r="J360" s="112">
        <f t="shared" si="81"/>
        <v>4</v>
      </c>
      <c r="K360" s="115" t="s">
        <v>2558</v>
      </c>
      <c r="L360" s="115" t="s">
        <v>2914</v>
      </c>
      <c r="M360" s="115" t="s">
        <v>2910</v>
      </c>
      <c r="N360" s="115">
        <v>61428</v>
      </c>
      <c r="O360" s="112">
        <v>2</v>
      </c>
      <c r="P360" s="116" t="s">
        <v>2743</v>
      </c>
      <c r="Q360" s="112" t="str">
        <f t="shared" si="82"/>
        <v/>
      </c>
      <c r="R360" s="112" t="str">
        <f t="shared" si="83"/>
        <v/>
      </c>
      <c r="S360" s="112" t="str">
        <f t="shared" si="86"/>
        <v/>
      </c>
      <c r="T360" s="112" t="str">
        <f t="shared" si="87"/>
        <v/>
      </c>
      <c r="U360" s="112" t="str">
        <f t="shared" si="88"/>
        <v/>
      </c>
      <c r="V360" s="112" t="str">
        <f t="shared" si="89"/>
        <v/>
      </c>
      <c r="W360" s="112" t="str">
        <f t="shared" si="90"/>
        <v/>
      </c>
      <c r="X360" s="112" t="str">
        <f t="shared" si="84"/>
        <v/>
      </c>
      <c r="Y360" s="112" t="str">
        <f t="shared" si="85"/>
        <v/>
      </c>
      <c r="Z360" s="112" t="str">
        <f t="shared" si="91"/>
        <v/>
      </c>
      <c r="AA360" s="112" t="str">
        <f t="shared" si="92"/>
        <v/>
      </c>
      <c r="AB360" s="112" t="str">
        <f t="shared" si="93"/>
        <v/>
      </c>
      <c r="AC360" s="112" t="str">
        <f t="shared" si="94"/>
        <v/>
      </c>
      <c r="AD360" s="112" t="str">
        <f t="shared" si="95"/>
        <v/>
      </c>
    </row>
    <row r="361" spans="1:30" x14ac:dyDescent="0.2">
      <c r="A361" s="112" t="str">
        <f>IF(SUM(Q361:R361)=1,1+MAX($A$1:A360),"")</f>
        <v/>
      </c>
      <c r="B361" s="112" t="str">
        <f>IF(SUM(X361:Y361)=1,1+MAX($B$1:B360),"")</f>
        <v/>
      </c>
      <c r="C361" s="112" t="str">
        <f>IF(SUM(Q361:R361,X361:Y361)=2,1+MAX($C$1:C360),"")</f>
        <v/>
      </c>
      <c r="D361" s="113">
        <v>34506</v>
      </c>
      <c r="E361" s="112">
        <v>1994</v>
      </c>
      <c r="F361" s="112" t="s">
        <v>2672</v>
      </c>
      <c r="G361" s="112" t="s">
        <v>2673</v>
      </c>
      <c r="H361" s="114" t="s">
        <v>2631</v>
      </c>
      <c r="I361" s="112">
        <f t="shared" si="80"/>
        <v>0</v>
      </c>
      <c r="J361" s="112">
        <f t="shared" si="81"/>
        <v>3</v>
      </c>
      <c r="K361" s="115" t="s">
        <v>2542</v>
      </c>
      <c r="L361" s="115" t="s">
        <v>2898</v>
      </c>
      <c r="M361" s="115" t="s">
        <v>2899</v>
      </c>
      <c r="N361" s="115">
        <v>44132</v>
      </c>
      <c r="O361" s="112">
        <v>2</v>
      </c>
      <c r="P361" s="116" t="s">
        <v>2607</v>
      </c>
      <c r="Q361" s="112" t="str">
        <f t="shared" si="82"/>
        <v/>
      </c>
      <c r="R361" s="112" t="str">
        <f t="shared" si="83"/>
        <v/>
      </c>
      <c r="S361" s="112" t="str">
        <f t="shared" si="86"/>
        <v/>
      </c>
      <c r="T361" s="112" t="str">
        <f t="shared" si="87"/>
        <v/>
      </c>
      <c r="U361" s="112" t="str">
        <f t="shared" si="88"/>
        <v/>
      </c>
      <c r="V361" s="112" t="str">
        <f t="shared" si="89"/>
        <v/>
      </c>
      <c r="W361" s="112" t="str">
        <f t="shared" si="90"/>
        <v/>
      </c>
      <c r="X361" s="112" t="str">
        <f t="shared" si="84"/>
        <v/>
      </c>
      <c r="Y361" s="112" t="str">
        <f t="shared" si="85"/>
        <v/>
      </c>
      <c r="Z361" s="112" t="str">
        <f t="shared" si="91"/>
        <v/>
      </c>
      <c r="AA361" s="112" t="str">
        <f t="shared" si="92"/>
        <v/>
      </c>
      <c r="AB361" s="112" t="str">
        <f t="shared" si="93"/>
        <v/>
      </c>
      <c r="AC361" s="112" t="str">
        <f t="shared" si="94"/>
        <v/>
      </c>
      <c r="AD361" s="112" t="str">
        <f t="shared" si="95"/>
        <v/>
      </c>
    </row>
    <row r="362" spans="1:30" x14ac:dyDescent="0.2">
      <c r="A362" s="112" t="str">
        <f>IF(SUM(Q362:R362)=1,1+MAX($A$1:A361),"")</f>
        <v/>
      </c>
      <c r="B362" s="112">
        <f>IF(SUM(X362:Y362)=1,1+MAX($B$1:B361),"")</f>
        <v>29</v>
      </c>
      <c r="C362" s="112" t="str">
        <f>IF(SUM(Q362:R362,X362:Y362)=2,1+MAX($C$1:C361),"")</f>
        <v/>
      </c>
      <c r="D362" s="113">
        <v>34506</v>
      </c>
      <c r="E362" s="112">
        <v>1994</v>
      </c>
      <c r="F362" s="112" t="s">
        <v>2672</v>
      </c>
      <c r="G362" s="112" t="s">
        <v>2673</v>
      </c>
      <c r="H362" s="114" t="s">
        <v>1134</v>
      </c>
      <c r="I362" s="112">
        <f t="shared" si="80"/>
        <v>4</v>
      </c>
      <c r="J362" s="112">
        <f t="shared" si="81"/>
        <v>0</v>
      </c>
      <c r="K362" s="115" t="s">
        <v>2642</v>
      </c>
      <c r="L362" s="115" t="s">
        <v>2900</v>
      </c>
      <c r="M362" s="115" t="s">
        <v>2917</v>
      </c>
      <c r="N362" s="115">
        <v>54456</v>
      </c>
      <c r="O362" s="112">
        <v>2</v>
      </c>
      <c r="P362" s="116" t="s">
        <v>2710</v>
      </c>
      <c r="Q362" s="112" t="str">
        <f t="shared" si="82"/>
        <v/>
      </c>
      <c r="R362" s="112" t="str">
        <f t="shared" si="83"/>
        <v/>
      </c>
      <c r="S362" s="112" t="str">
        <f t="shared" si="86"/>
        <v/>
      </c>
      <c r="T362" s="112" t="str">
        <f t="shared" si="87"/>
        <v/>
      </c>
      <c r="U362" s="112" t="str">
        <f t="shared" si="88"/>
        <v/>
      </c>
      <c r="V362" s="112" t="str">
        <f t="shared" si="89"/>
        <v/>
      </c>
      <c r="W362" s="112" t="str">
        <f t="shared" si="90"/>
        <v/>
      </c>
      <c r="X362" s="112">
        <f t="shared" si="84"/>
        <v>1</v>
      </c>
      <c r="Y362" s="112" t="str">
        <f t="shared" si="85"/>
        <v/>
      </c>
      <c r="Z362" s="112">
        <f t="shared" si="91"/>
        <v>1</v>
      </c>
      <c r="AA362" s="112">
        <f t="shared" si="92"/>
        <v>0</v>
      </c>
      <c r="AB362" s="112">
        <f t="shared" si="93"/>
        <v>0</v>
      </c>
      <c r="AC362" s="112">
        <f t="shared" si="94"/>
        <v>4</v>
      </c>
      <c r="AD362" s="112">
        <f t="shared" si="95"/>
        <v>4</v>
      </c>
    </row>
    <row r="363" spans="1:30" x14ac:dyDescent="0.2">
      <c r="A363" s="112" t="str">
        <f>IF(SUM(Q363:R363)=1,1+MAX($A$1:A362),"")</f>
        <v/>
      </c>
      <c r="B363" s="112" t="str">
        <f>IF(SUM(X363:Y363)=1,1+MAX($B$1:B362),"")</f>
        <v/>
      </c>
      <c r="C363" s="112" t="str">
        <f>IF(SUM(Q363:R363,X363:Y363)=2,1+MAX($C$1:C362),"")</f>
        <v/>
      </c>
      <c r="D363" s="113">
        <v>34506</v>
      </c>
      <c r="E363" s="112">
        <v>1994</v>
      </c>
      <c r="F363" s="112" t="s">
        <v>2677</v>
      </c>
      <c r="G363" s="112" t="s">
        <v>2678</v>
      </c>
      <c r="H363" s="114" t="s">
        <v>2547</v>
      </c>
      <c r="I363" s="112">
        <f t="shared" si="80"/>
        <v>1</v>
      </c>
      <c r="J363" s="112">
        <f t="shared" si="81"/>
        <v>1</v>
      </c>
      <c r="K363" s="115" t="s">
        <v>2557</v>
      </c>
      <c r="L363" s="115" t="s">
        <v>2907</v>
      </c>
      <c r="M363" s="115" t="s">
        <v>2918</v>
      </c>
      <c r="N363" s="115">
        <v>69113</v>
      </c>
      <c r="O363" s="112">
        <v>2</v>
      </c>
      <c r="P363" s="116" t="s">
        <v>2645</v>
      </c>
      <c r="Q363" s="112" t="str">
        <f t="shared" si="82"/>
        <v/>
      </c>
      <c r="R363" s="112" t="str">
        <f t="shared" si="83"/>
        <v/>
      </c>
      <c r="S363" s="112" t="str">
        <f t="shared" si="86"/>
        <v/>
      </c>
      <c r="T363" s="112" t="str">
        <f t="shared" si="87"/>
        <v/>
      </c>
      <c r="U363" s="112" t="str">
        <f t="shared" si="88"/>
        <v/>
      </c>
      <c r="V363" s="112" t="str">
        <f t="shared" si="89"/>
        <v/>
      </c>
      <c r="W363" s="112" t="str">
        <f t="shared" si="90"/>
        <v/>
      </c>
      <c r="X363" s="112" t="str">
        <f t="shared" si="84"/>
        <v/>
      </c>
      <c r="Y363" s="112" t="str">
        <f t="shared" si="85"/>
        <v/>
      </c>
      <c r="Z363" s="112" t="str">
        <f t="shared" si="91"/>
        <v/>
      </c>
      <c r="AA363" s="112" t="str">
        <f t="shared" si="92"/>
        <v/>
      </c>
      <c r="AB363" s="112" t="str">
        <f t="shared" si="93"/>
        <v/>
      </c>
      <c r="AC363" s="112" t="str">
        <f t="shared" si="94"/>
        <v/>
      </c>
      <c r="AD363" s="112" t="str">
        <f t="shared" si="95"/>
        <v/>
      </c>
    </row>
    <row r="364" spans="1:30" x14ac:dyDescent="0.2">
      <c r="A364" s="112" t="str">
        <f>IF(SUM(Q364:R364)=1,1+MAX($A$1:A363),"")</f>
        <v/>
      </c>
      <c r="B364" s="112" t="str">
        <f>IF(SUM(X364:Y364)=1,1+MAX($B$1:B363),"")</f>
        <v/>
      </c>
      <c r="C364" s="112" t="str">
        <f>IF(SUM(Q364:R364,X364:Y364)=2,1+MAX($C$1:C363),"")</f>
        <v/>
      </c>
      <c r="D364" s="113">
        <v>34505</v>
      </c>
      <c r="E364" s="112">
        <v>1994</v>
      </c>
      <c r="F364" s="112" t="s">
        <v>2661</v>
      </c>
      <c r="G364" s="112" t="s">
        <v>2662</v>
      </c>
      <c r="H364" s="114" t="s">
        <v>2604</v>
      </c>
      <c r="I364" s="112">
        <f t="shared" si="80"/>
        <v>2</v>
      </c>
      <c r="J364" s="112">
        <f t="shared" si="81"/>
        <v>1</v>
      </c>
      <c r="K364" s="115" t="s">
        <v>2559</v>
      </c>
      <c r="L364" s="115" t="s">
        <v>2906</v>
      </c>
      <c r="M364" s="115" t="s">
        <v>2919</v>
      </c>
      <c r="N364" s="115">
        <v>50535</v>
      </c>
      <c r="O364" s="112">
        <v>2</v>
      </c>
      <c r="P364" s="116" t="s">
        <v>2626</v>
      </c>
      <c r="Q364" s="112" t="str">
        <f t="shared" si="82"/>
        <v/>
      </c>
      <c r="R364" s="112" t="str">
        <f t="shared" si="83"/>
        <v/>
      </c>
      <c r="S364" s="112" t="str">
        <f t="shared" si="86"/>
        <v/>
      </c>
      <c r="T364" s="112" t="str">
        <f t="shared" si="87"/>
        <v/>
      </c>
      <c r="U364" s="112" t="str">
        <f t="shared" si="88"/>
        <v/>
      </c>
      <c r="V364" s="112" t="str">
        <f t="shared" si="89"/>
        <v/>
      </c>
      <c r="W364" s="112" t="str">
        <f t="shared" si="90"/>
        <v/>
      </c>
      <c r="X364" s="112" t="str">
        <f t="shared" si="84"/>
        <v/>
      </c>
      <c r="Y364" s="112" t="str">
        <f t="shared" si="85"/>
        <v/>
      </c>
      <c r="Z364" s="112" t="str">
        <f t="shared" si="91"/>
        <v/>
      </c>
      <c r="AA364" s="112" t="str">
        <f t="shared" si="92"/>
        <v/>
      </c>
      <c r="AB364" s="112" t="str">
        <f t="shared" si="93"/>
        <v/>
      </c>
      <c r="AC364" s="112" t="str">
        <f t="shared" si="94"/>
        <v/>
      </c>
      <c r="AD364" s="112" t="str">
        <f t="shared" si="95"/>
        <v/>
      </c>
    </row>
    <row r="365" spans="1:30" x14ac:dyDescent="0.2">
      <c r="A365" s="112" t="str">
        <f>IF(SUM(Q365:R365)=1,1+MAX($A$1:A364),"")</f>
        <v/>
      </c>
      <c r="B365" s="112" t="str">
        <f>IF(SUM(X365:Y365)=1,1+MAX($B$1:B364),"")</f>
        <v/>
      </c>
      <c r="C365" s="112" t="str">
        <f>IF(SUM(Q365:R365,X365:Y365)=2,1+MAX($C$1:C364),"")</f>
        <v/>
      </c>
      <c r="D365" s="113">
        <v>34505</v>
      </c>
      <c r="E365" s="112">
        <v>1994</v>
      </c>
      <c r="F365" s="112" t="s">
        <v>2684</v>
      </c>
      <c r="G365" s="112" t="s">
        <v>2685</v>
      </c>
      <c r="H365" s="114" t="s">
        <v>1442</v>
      </c>
      <c r="I365" s="112">
        <f t="shared" si="80"/>
        <v>2</v>
      </c>
      <c r="J365" s="112">
        <f t="shared" si="81"/>
        <v>0</v>
      </c>
      <c r="K365" s="115" t="s">
        <v>2546</v>
      </c>
      <c r="L365" s="115" t="s">
        <v>2896</v>
      </c>
      <c r="M365" s="115" t="s">
        <v>2886</v>
      </c>
      <c r="N365" s="115">
        <v>81061</v>
      </c>
      <c r="O365" s="112">
        <v>2</v>
      </c>
      <c r="P365" s="116" t="s">
        <v>2641</v>
      </c>
      <c r="Q365" s="112" t="str">
        <f t="shared" si="82"/>
        <v/>
      </c>
      <c r="R365" s="112" t="str">
        <f t="shared" si="83"/>
        <v/>
      </c>
      <c r="S365" s="112" t="str">
        <f t="shared" si="86"/>
        <v/>
      </c>
      <c r="T365" s="112" t="str">
        <f t="shared" si="87"/>
        <v/>
      </c>
      <c r="U365" s="112" t="str">
        <f t="shared" si="88"/>
        <v/>
      </c>
      <c r="V365" s="112" t="str">
        <f t="shared" si="89"/>
        <v/>
      </c>
      <c r="W365" s="112" t="str">
        <f t="shared" si="90"/>
        <v/>
      </c>
      <c r="X365" s="112" t="str">
        <f t="shared" si="84"/>
        <v/>
      </c>
      <c r="Y365" s="112" t="str">
        <f t="shared" si="85"/>
        <v/>
      </c>
      <c r="Z365" s="112" t="str">
        <f t="shared" si="91"/>
        <v/>
      </c>
      <c r="AA365" s="112" t="str">
        <f t="shared" si="92"/>
        <v/>
      </c>
      <c r="AB365" s="112" t="str">
        <f t="shared" si="93"/>
        <v/>
      </c>
      <c r="AC365" s="112" t="str">
        <f t="shared" si="94"/>
        <v/>
      </c>
      <c r="AD365" s="112" t="str">
        <f t="shared" si="95"/>
        <v/>
      </c>
    </row>
    <row r="366" spans="1:30" x14ac:dyDescent="0.2">
      <c r="A366" s="112" t="str">
        <f>IF(SUM(Q366:R366)=1,1+MAX($A$1:A365),"")</f>
        <v/>
      </c>
      <c r="B366" s="112" t="str">
        <f>IF(SUM(X366:Y366)=1,1+MAX($B$1:B365),"")</f>
        <v/>
      </c>
      <c r="C366" s="112" t="str">
        <f>IF(SUM(Q366:R366,X366:Y366)=2,1+MAX($C$1:C365),"")</f>
        <v/>
      </c>
      <c r="D366" s="113">
        <v>34504</v>
      </c>
      <c r="E366" s="112">
        <v>1994</v>
      </c>
      <c r="F366" s="112" t="s">
        <v>2661</v>
      </c>
      <c r="G366" s="112" t="s">
        <v>2662</v>
      </c>
      <c r="H366" s="114" t="s">
        <v>2554</v>
      </c>
      <c r="I366" s="112">
        <f t="shared" si="80"/>
        <v>1</v>
      </c>
      <c r="J366" s="112">
        <f t="shared" si="81"/>
        <v>0</v>
      </c>
      <c r="K366" s="115" t="s">
        <v>2555</v>
      </c>
      <c r="L366" s="115" t="s">
        <v>2902</v>
      </c>
      <c r="M366" s="115" t="s">
        <v>2893</v>
      </c>
      <c r="N366" s="115">
        <v>61219</v>
      </c>
      <c r="O366" s="112">
        <v>2</v>
      </c>
      <c r="P366" s="116" t="s">
        <v>2622</v>
      </c>
      <c r="Q366" s="112" t="str">
        <f t="shared" si="82"/>
        <v/>
      </c>
      <c r="R366" s="112" t="str">
        <f t="shared" si="83"/>
        <v/>
      </c>
      <c r="S366" s="112" t="str">
        <f t="shared" si="86"/>
        <v/>
      </c>
      <c r="T366" s="112" t="str">
        <f t="shared" si="87"/>
        <v/>
      </c>
      <c r="U366" s="112" t="str">
        <f t="shared" si="88"/>
        <v/>
      </c>
      <c r="V366" s="112" t="str">
        <f t="shared" si="89"/>
        <v/>
      </c>
      <c r="W366" s="112" t="str">
        <f t="shared" si="90"/>
        <v/>
      </c>
      <c r="X366" s="112" t="str">
        <f t="shared" si="84"/>
        <v/>
      </c>
      <c r="Y366" s="112" t="str">
        <f t="shared" si="85"/>
        <v/>
      </c>
      <c r="Z366" s="112" t="str">
        <f t="shared" si="91"/>
        <v/>
      </c>
      <c r="AA366" s="112" t="str">
        <f t="shared" si="92"/>
        <v/>
      </c>
      <c r="AB366" s="112" t="str">
        <f t="shared" si="93"/>
        <v/>
      </c>
      <c r="AC366" s="112" t="str">
        <f t="shared" si="94"/>
        <v/>
      </c>
      <c r="AD366" s="112" t="str">
        <f t="shared" si="95"/>
        <v/>
      </c>
    </row>
    <row r="367" spans="1:30" x14ac:dyDescent="0.2">
      <c r="A367" s="112" t="str">
        <f>IF(SUM(Q367:R367)=1,1+MAX($A$1:A366),"")</f>
        <v/>
      </c>
      <c r="B367" s="112" t="str">
        <f>IF(SUM(X367:Y367)=1,1+MAX($B$1:B366),"")</f>
        <v/>
      </c>
      <c r="C367" s="112" t="str">
        <f>IF(SUM(Q367:R367,X367:Y367)=2,1+MAX($C$1:C366),"")</f>
        <v/>
      </c>
      <c r="D367" s="113">
        <v>34504</v>
      </c>
      <c r="E367" s="112">
        <v>1994</v>
      </c>
      <c r="F367" s="112" t="s">
        <v>2666</v>
      </c>
      <c r="G367" s="112" t="s">
        <v>2667</v>
      </c>
      <c r="H367" s="114" t="s">
        <v>1061</v>
      </c>
      <c r="I367" s="112">
        <f t="shared" si="80"/>
        <v>0</v>
      </c>
      <c r="J367" s="112">
        <f t="shared" si="81"/>
        <v>1</v>
      </c>
      <c r="K367" s="115" t="s">
        <v>2707</v>
      </c>
      <c r="L367" s="115" t="s">
        <v>2906</v>
      </c>
      <c r="M367" s="115" t="s">
        <v>2892</v>
      </c>
      <c r="N367" s="115">
        <v>52395</v>
      </c>
      <c r="O367" s="112">
        <v>2</v>
      </c>
      <c r="P367" s="116" t="s">
        <v>2601</v>
      </c>
      <c r="Q367" s="112" t="str">
        <f t="shared" si="82"/>
        <v/>
      </c>
      <c r="R367" s="112" t="str">
        <f t="shared" si="83"/>
        <v/>
      </c>
      <c r="S367" s="112" t="str">
        <f t="shared" si="86"/>
        <v/>
      </c>
      <c r="T367" s="112" t="str">
        <f t="shared" si="87"/>
        <v/>
      </c>
      <c r="U367" s="112" t="str">
        <f t="shared" si="88"/>
        <v/>
      </c>
      <c r="V367" s="112" t="str">
        <f t="shared" si="89"/>
        <v/>
      </c>
      <c r="W367" s="112" t="str">
        <f t="shared" si="90"/>
        <v/>
      </c>
      <c r="X367" s="112" t="str">
        <f t="shared" si="84"/>
        <v/>
      </c>
      <c r="Y367" s="112" t="str">
        <f t="shared" si="85"/>
        <v/>
      </c>
      <c r="Z367" s="112" t="str">
        <f t="shared" si="91"/>
        <v/>
      </c>
      <c r="AA367" s="112" t="str">
        <f t="shared" si="92"/>
        <v/>
      </c>
      <c r="AB367" s="112" t="str">
        <f t="shared" si="93"/>
        <v/>
      </c>
      <c r="AC367" s="112" t="str">
        <f t="shared" si="94"/>
        <v/>
      </c>
      <c r="AD367" s="112" t="str">
        <f t="shared" si="95"/>
        <v/>
      </c>
    </row>
    <row r="368" spans="1:30" x14ac:dyDescent="0.2">
      <c r="A368" s="112" t="str">
        <f>IF(SUM(Q368:R368)=1,1+MAX($A$1:A367),"")</f>
        <v/>
      </c>
      <c r="B368" s="112" t="str">
        <f>IF(SUM(X368:Y368)=1,1+MAX($B$1:B367),"")</f>
        <v/>
      </c>
      <c r="C368" s="112" t="str">
        <f>IF(SUM(Q368:R368,X368:Y368)=2,1+MAX($C$1:C367),"")</f>
        <v/>
      </c>
      <c r="D368" s="113">
        <v>34504</v>
      </c>
      <c r="E368" s="112">
        <v>1994</v>
      </c>
      <c r="F368" s="112" t="s">
        <v>2684</v>
      </c>
      <c r="G368" s="112" t="s">
        <v>2685</v>
      </c>
      <c r="H368" s="114" t="s">
        <v>2693</v>
      </c>
      <c r="I368" s="112">
        <f t="shared" si="80"/>
        <v>2</v>
      </c>
      <c r="J368" s="112">
        <f t="shared" si="81"/>
        <v>2</v>
      </c>
      <c r="K368" s="115" t="s">
        <v>2549</v>
      </c>
      <c r="L368" s="115" t="s">
        <v>2891</v>
      </c>
      <c r="M368" s="115" t="s">
        <v>2911</v>
      </c>
      <c r="N368" s="115">
        <v>93194</v>
      </c>
      <c r="O368" s="112">
        <v>2</v>
      </c>
      <c r="P368" s="116" t="s">
        <v>2697</v>
      </c>
      <c r="Q368" s="112" t="str">
        <f t="shared" si="82"/>
        <v/>
      </c>
      <c r="R368" s="112" t="str">
        <f t="shared" si="83"/>
        <v/>
      </c>
      <c r="S368" s="112" t="str">
        <f t="shared" si="86"/>
        <v/>
      </c>
      <c r="T368" s="112" t="str">
        <f t="shared" si="87"/>
        <v/>
      </c>
      <c r="U368" s="112" t="str">
        <f t="shared" si="88"/>
        <v/>
      </c>
      <c r="V368" s="112" t="str">
        <f t="shared" si="89"/>
        <v/>
      </c>
      <c r="W368" s="112" t="str">
        <f t="shared" si="90"/>
        <v/>
      </c>
      <c r="X368" s="112" t="str">
        <f t="shared" si="84"/>
        <v/>
      </c>
      <c r="Y368" s="112" t="str">
        <f t="shared" si="85"/>
        <v/>
      </c>
      <c r="Z368" s="112" t="str">
        <f t="shared" si="91"/>
        <v/>
      </c>
      <c r="AA368" s="112" t="str">
        <f t="shared" si="92"/>
        <v/>
      </c>
      <c r="AB368" s="112" t="str">
        <f t="shared" si="93"/>
        <v/>
      </c>
      <c r="AC368" s="112" t="str">
        <f t="shared" si="94"/>
        <v/>
      </c>
      <c r="AD368" s="112" t="str">
        <f t="shared" si="95"/>
        <v/>
      </c>
    </row>
    <row r="369" spans="1:30" x14ac:dyDescent="0.2">
      <c r="A369" s="112" t="str">
        <f>IF(SUM(Q369:R369)=1,1+MAX($A$1:A368),"")</f>
        <v/>
      </c>
      <c r="B369" s="112" t="str">
        <f>IF(SUM(X369:Y369)=1,1+MAX($B$1:B368),"")</f>
        <v/>
      </c>
      <c r="C369" s="112" t="str">
        <f>IF(SUM(Q369:R369,X369:Y369)=2,1+MAX($C$1:C368),"")</f>
        <v/>
      </c>
      <c r="D369" s="113">
        <v>34503</v>
      </c>
      <c r="E369" s="112">
        <v>1994</v>
      </c>
      <c r="F369" s="112" t="s">
        <v>2666</v>
      </c>
      <c r="G369" s="112" t="s">
        <v>2667</v>
      </c>
      <c r="H369" s="114" t="s">
        <v>2676</v>
      </c>
      <c r="I369" s="112">
        <f t="shared" si="80"/>
        <v>1</v>
      </c>
      <c r="J369" s="112">
        <f t="shared" si="81"/>
        <v>0</v>
      </c>
      <c r="K369" s="115" t="s">
        <v>2674</v>
      </c>
      <c r="L369" s="115" t="s">
        <v>2894</v>
      </c>
      <c r="M369" s="115" t="s">
        <v>2872</v>
      </c>
      <c r="N369" s="115">
        <v>75338</v>
      </c>
      <c r="O369" s="112">
        <v>2</v>
      </c>
      <c r="P369" s="116" t="s">
        <v>2622</v>
      </c>
      <c r="Q369" s="112" t="str">
        <f t="shared" si="82"/>
        <v/>
      </c>
      <c r="R369" s="112" t="str">
        <f t="shared" si="83"/>
        <v/>
      </c>
      <c r="S369" s="112" t="str">
        <f t="shared" si="86"/>
        <v/>
      </c>
      <c r="T369" s="112" t="str">
        <f t="shared" si="87"/>
        <v/>
      </c>
      <c r="U369" s="112" t="str">
        <f t="shared" si="88"/>
        <v/>
      </c>
      <c r="V369" s="112" t="str">
        <f t="shared" si="89"/>
        <v/>
      </c>
      <c r="W369" s="112" t="str">
        <f t="shared" si="90"/>
        <v/>
      </c>
      <c r="X369" s="112" t="str">
        <f t="shared" si="84"/>
        <v/>
      </c>
      <c r="Y369" s="112" t="str">
        <f t="shared" si="85"/>
        <v/>
      </c>
      <c r="Z369" s="112" t="str">
        <f t="shared" si="91"/>
        <v/>
      </c>
      <c r="AA369" s="112" t="str">
        <f t="shared" si="92"/>
        <v/>
      </c>
      <c r="AB369" s="112" t="str">
        <f t="shared" si="93"/>
        <v/>
      </c>
      <c r="AC369" s="112" t="str">
        <f t="shared" si="94"/>
        <v/>
      </c>
      <c r="AD369" s="112" t="str">
        <f t="shared" si="95"/>
        <v/>
      </c>
    </row>
    <row r="370" spans="1:30" x14ac:dyDescent="0.2">
      <c r="A370" s="112" t="str">
        <f>IF(SUM(Q370:R370)=1,1+MAX($A$1:A369),"")</f>
        <v/>
      </c>
      <c r="B370" s="112" t="str">
        <f>IF(SUM(X370:Y370)=1,1+MAX($B$1:B369),"")</f>
        <v/>
      </c>
      <c r="C370" s="112" t="str">
        <f>IF(SUM(Q370:R370,X370:Y370)=2,1+MAX($C$1:C369),"")</f>
        <v/>
      </c>
      <c r="D370" s="113">
        <v>34503</v>
      </c>
      <c r="E370" s="112">
        <v>1994</v>
      </c>
      <c r="F370" s="112" t="s">
        <v>2689</v>
      </c>
      <c r="G370" s="112" t="s">
        <v>2690</v>
      </c>
      <c r="H370" s="114" t="s">
        <v>1347</v>
      </c>
      <c r="I370" s="112">
        <f t="shared" si="80"/>
        <v>1</v>
      </c>
      <c r="J370" s="112">
        <f t="shared" si="81"/>
        <v>3</v>
      </c>
      <c r="K370" s="115" t="s">
        <v>2711</v>
      </c>
      <c r="L370" s="115" t="s">
        <v>2891</v>
      </c>
      <c r="M370" s="115" t="s">
        <v>2901</v>
      </c>
      <c r="N370" s="115">
        <v>91856</v>
      </c>
      <c r="O370" s="112">
        <v>2</v>
      </c>
      <c r="P370" s="116" t="s">
        <v>2691</v>
      </c>
      <c r="Q370" s="112" t="str">
        <f t="shared" si="82"/>
        <v/>
      </c>
      <c r="R370" s="112" t="str">
        <f t="shared" si="83"/>
        <v/>
      </c>
      <c r="S370" s="112" t="str">
        <f t="shared" si="86"/>
        <v/>
      </c>
      <c r="T370" s="112" t="str">
        <f t="shared" si="87"/>
        <v/>
      </c>
      <c r="U370" s="112" t="str">
        <f t="shared" si="88"/>
        <v/>
      </c>
      <c r="V370" s="112" t="str">
        <f t="shared" si="89"/>
        <v/>
      </c>
      <c r="W370" s="112" t="str">
        <f t="shared" si="90"/>
        <v/>
      </c>
      <c r="X370" s="112" t="str">
        <f t="shared" si="84"/>
        <v/>
      </c>
      <c r="Y370" s="112" t="str">
        <f t="shared" si="85"/>
        <v/>
      </c>
      <c r="Z370" s="112" t="str">
        <f t="shared" si="91"/>
        <v/>
      </c>
      <c r="AA370" s="112" t="str">
        <f t="shared" si="92"/>
        <v/>
      </c>
      <c r="AB370" s="112" t="str">
        <f t="shared" si="93"/>
        <v/>
      </c>
      <c r="AC370" s="112" t="str">
        <f t="shared" si="94"/>
        <v/>
      </c>
      <c r="AD370" s="112" t="str">
        <f t="shared" si="95"/>
        <v/>
      </c>
    </row>
    <row r="371" spans="1:30" x14ac:dyDescent="0.2">
      <c r="A371" s="112" t="str">
        <f>IF(SUM(Q371:R371)=1,1+MAX($A$1:A370),"")</f>
        <v/>
      </c>
      <c r="B371" s="112" t="str">
        <f>IF(SUM(X371:Y371)=1,1+MAX($B$1:B370),"")</f>
        <v/>
      </c>
      <c r="C371" s="112" t="str">
        <f>IF(SUM(Q371:R371,X371:Y371)=2,1+MAX($C$1:C370),"")</f>
        <v/>
      </c>
      <c r="D371" s="113">
        <v>34503</v>
      </c>
      <c r="E371" s="112">
        <v>1994</v>
      </c>
      <c r="F371" s="112" t="s">
        <v>2689</v>
      </c>
      <c r="G371" s="112" t="s">
        <v>2690</v>
      </c>
      <c r="H371" s="114" t="s">
        <v>2558</v>
      </c>
      <c r="I371" s="112">
        <f t="shared" si="80"/>
        <v>1</v>
      </c>
      <c r="J371" s="112">
        <f t="shared" si="81"/>
        <v>1</v>
      </c>
      <c r="K371" s="115" t="s">
        <v>2614</v>
      </c>
      <c r="L371" s="115" t="s">
        <v>2914</v>
      </c>
      <c r="M371" s="115" t="s">
        <v>2913</v>
      </c>
      <c r="N371" s="115">
        <v>73425</v>
      </c>
      <c r="O371" s="112">
        <v>2</v>
      </c>
      <c r="P371" s="116" t="s">
        <v>2645</v>
      </c>
      <c r="Q371" s="112" t="str">
        <f t="shared" si="82"/>
        <v/>
      </c>
      <c r="R371" s="112" t="str">
        <f t="shared" si="83"/>
        <v/>
      </c>
      <c r="S371" s="112" t="str">
        <f t="shared" si="86"/>
        <v/>
      </c>
      <c r="T371" s="112" t="str">
        <f t="shared" si="87"/>
        <v/>
      </c>
      <c r="U371" s="112" t="str">
        <f t="shared" si="88"/>
        <v/>
      </c>
      <c r="V371" s="112" t="str">
        <f t="shared" si="89"/>
        <v/>
      </c>
      <c r="W371" s="112" t="str">
        <f t="shared" si="90"/>
        <v/>
      </c>
      <c r="X371" s="112" t="str">
        <f t="shared" si="84"/>
        <v/>
      </c>
      <c r="Y371" s="112" t="str">
        <f t="shared" si="85"/>
        <v/>
      </c>
      <c r="Z371" s="112" t="str">
        <f t="shared" si="91"/>
        <v/>
      </c>
      <c r="AA371" s="112" t="str">
        <f t="shared" si="92"/>
        <v/>
      </c>
      <c r="AB371" s="112" t="str">
        <f t="shared" si="93"/>
        <v/>
      </c>
      <c r="AC371" s="112" t="str">
        <f t="shared" si="94"/>
        <v/>
      </c>
      <c r="AD371" s="112" t="str">
        <f t="shared" si="95"/>
        <v/>
      </c>
    </row>
    <row r="372" spans="1:30" x14ac:dyDescent="0.2">
      <c r="A372" s="112" t="str">
        <f>IF(SUM(Q372:R372)=1,1+MAX($A$1:A371),"")</f>
        <v/>
      </c>
      <c r="B372" s="112" t="str">
        <f>IF(SUM(X372:Y372)=1,1+MAX($B$1:B371),"")</f>
        <v/>
      </c>
      <c r="C372" s="112" t="str">
        <f>IF(SUM(Q372:R372,X372:Y372)=2,1+MAX($C$1:C371),"")</f>
        <v/>
      </c>
      <c r="D372" s="113">
        <v>34502</v>
      </c>
      <c r="E372" s="112">
        <v>1994</v>
      </c>
      <c r="F372" s="112" t="s">
        <v>2677</v>
      </c>
      <c r="G372" s="112" t="s">
        <v>2678</v>
      </c>
      <c r="H372" s="114" t="s">
        <v>2543</v>
      </c>
      <c r="I372" s="112">
        <f t="shared" si="80"/>
        <v>2</v>
      </c>
      <c r="J372" s="112">
        <f t="shared" si="81"/>
        <v>2</v>
      </c>
      <c r="K372" s="115" t="s">
        <v>2557</v>
      </c>
      <c r="L372" s="115" t="s">
        <v>2898</v>
      </c>
      <c r="M372" s="115" t="s">
        <v>2903</v>
      </c>
      <c r="N372" s="115">
        <v>56247</v>
      </c>
      <c r="O372" s="112">
        <v>2</v>
      </c>
      <c r="P372" s="116" t="s">
        <v>2697</v>
      </c>
      <c r="Q372" s="112" t="str">
        <f t="shared" si="82"/>
        <v/>
      </c>
      <c r="R372" s="112" t="str">
        <f t="shared" si="83"/>
        <v/>
      </c>
      <c r="S372" s="112" t="str">
        <f t="shared" si="86"/>
        <v/>
      </c>
      <c r="T372" s="112" t="str">
        <f t="shared" si="87"/>
        <v/>
      </c>
      <c r="U372" s="112" t="str">
        <f t="shared" si="88"/>
        <v/>
      </c>
      <c r="V372" s="112" t="str">
        <f t="shared" si="89"/>
        <v/>
      </c>
      <c r="W372" s="112" t="str">
        <f t="shared" si="90"/>
        <v/>
      </c>
      <c r="X372" s="112" t="str">
        <f t="shared" si="84"/>
        <v/>
      </c>
      <c r="Y372" s="112" t="str">
        <f t="shared" si="85"/>
        <v/>
      </c>
      <c r="Z372" s="112" t="str">
        <f t="shared" si="91"/>
        <v/>
      </c>
      <c r="AA372" s="112" t="str">
        <f t="shared" si="92"/>
        <v/>
      </c>
      <c r="AB372" s="112" t="str">
        <f t="shared" si="93"/>
        <v/>
      </c>
      <c r="AC372" s="112" t="str">
        <f t="shared" si="94"/>
        <v/>
      </c>
      <c r="AD372" s="112" t="str">
        <f t="shared" si="95"/>
        <v/>
      </c>
    </row>
    <row r="373" spans="1:30" x14ac:dyDescent="0.2">
      <c r="A373" s="112" t="str">
        <f>IF(SUM(Q373:R373)=1,1+MAX($A$1:A372),"")</f>
        <v/>
      </c>
      <c r="B373" s="112" t="str">
        <f>IF(SUM(X373:Y373)=1,1+MAX($B$1:B372),"")</f>
        <v/>
      </c>
      <c r="C373" s="112" t="str">
        <f>IF(SUM(Q373:R373,X373:Y373)=2,1+MAX($C$1:C372),"")</f>
        <v/>
      </c>
      <c r="D373" s="113">
        <v>34502</v>
      </c>
      <c r="E373" s="112">
        <v>1994</v>
      </c>
      <c r="F373" s="112" t="s">
        <v>2677</v>
      </c>
      <c r="G373" s="112" t="s">
        <v>2678</v>
      </c>
      <c r="H373" s="114" t="s">
        <v>2634</v>
      </c>
      <c r="I373" s="112">
        <f t="shared" si="80"/>
        <v>0</v>
      </c>
      <c r="J373" s="112">
        <f t="shared" si="81"/>
        <v>1</v>
      </c>
      <c r="K373" s="115" t="s">
        <v>2547</v>
      </c>
      <c r="L373" s="115" t="s">
        <v>2907</v>
      </c>
      <c r="M373" s="115" t="s">
        <v>2857</v>
      </c>
      <c r="N373" s="115">
        <v>63117</v>
      </c>
      <c r="O373" s="112">
        <v>2</v>
      </c>
      <c r="P373" s="116" t="s">
        <v>2601</v>
      </c>
      <c r="Q373" s="112" t="str">
        <f t="shared" si="82"/>
        <v/>
      </c>
      <c r="R373" s="112" t="str">
        <f t="shared" si="83"/>
        <v/>
      </c>
      <c r="S373" s="112" t="str">
        <f t="shared" si="86"/>
        <v/>
      </c>
      <c r="T373" s="112" t="str">
        <f t="shared" si="87"/>
        <v/>
      </c>
      <c r="U373" s="112" t="str">
        <f t="shared" si="88"/>
        <v/>
      </c>
      <c r="V373" s="112" t="str">
        <f t="shared" si="89"/>
        <v/>
      </c>
      <c r="W373" s="112" t="str">
        <f t="shared" si="90"/>
        <v/>
      </c>
      <c r="X373" s="112" t="str">
        <f t="shared" si="84"/>
        <v/>
      </c>
      <c r="Y373" s="112" t="str">
        <f t="shared" si="85"/>
        <v/>
      </c>
      <c r="Z373" s="112" t="str">
        <f t="shared" si="91"/>
        <v/>
      </c>
      <c r="AA373" s="112" t="str">
        <f t="shared" si="92"/>
        <v/>
      </c>
      <c r="AB373" s="112" t="str">
        <f t="shared" si="93"/>
        <v/>
      </c>
      <c r="AC373" s="112" t="str">
        <f t="shared" si="94"/>
        <v/>
      </c>
      <c r="AD373" s="112" t="str">
        <f t="shared" si="95"/>
        <v/>
      </c>
    </row>
    <row r="374" spans="1:30" x14ac:dyDescent="0.2">
      <c r="A374" s="112" t="str">
        <f>IF(SUM(Q374:R374)=1,1+MAX($A$1:A373),"")</f>
        <v/>
      </c>
      <c r="B374" s="112">
        <f>IF(SUM(X374:Y374)=1,1+MAX($B$1:B373),"")</f>
        <v>30</v>
      </c>
      <c r="C374" s="112" t="str">
        <f>IF(SUM(Q374:R374,X374:Y374)=2,1+MAX($C$1:C373),"")</f>
        <v/>
      </c>
      <c r="D374" s="113">
        <v>33062</v>
      </c>
      <c r="E374" s="112">
        <v>1990</v>
      </c>
      <c r="F374" s="112" t="s">
        <v>2597</v>
      </c>
      <c r="H374" s="114" t="s">
        <v>1134</v>
      </c>
      <c r="I374" s="112">
        <f t="shared" si="80"/>
        <v>0</v>
      </c>
      <c r="J374" s="112">
        <f t="shared" si="81"/>
        <v>1</v>
      </c>
      <c r="K374" s="115" t="s">
        <v>2547</v>
      </c>
      <c r="L374" s="115" t="s">
        <v>2920</v>
      </c>
      <c r="M374" s="115" t="s">
        <v>2921</v>
      </c>
      <c r="N374" s="115">
        <v>73603</v>
      </c>
      <c r="O374" s="112">
        <v>2</v>
      </c>
      <c r="P374" s="116" t="s">
        <v>2601</v>
      </c>
      <c r="Q374" s="112" t="str">
        <f t="shared" si="82"/>
        <v/>
      </c>
      <c r="R374" s="112" t="str">
        <f t="shared" si="83"/>
        <v/>
      </c>
      <c r="S374" s="112" t="str">
        <f t="shared" si="86"/>
        <v/>
      </c>
      <c r="T374" s="112" t="str">
        <f t="shared" si="87"/>
        <v/>
      </c>
      <c r="U374" s="112" t="str">
        <f t="shared" si="88"/>
        <v/>
      </c>
      <c r="V374" s="112" t="str">
        <f t="shared" si="89"/>
        <v/>
      </c>
      <c r="W374" s="112" t="str">
        <f t="shared" si="90"/>
        <v/>
      </c>
      <c r="X374" s="112">
        <f t="shared" si="84"/>
        <v>1</v>
      </c>
      <c r="Y374" s="112" t="str">
        <f t="shared" si="85"/>
        <v/>
      </c>
      <c r="Z374" s="112">
        <f t="shared" si="91"/>
        <v>0</v>
      </c>
      <c r="AA374" s="112">
        <f t="shared" si="92"/>
        <v>0</v>
      </c>
      <c r="AB374" s="112">
        <f t="shared" si="93"/>
        <v>1</v>
      </c>
      <c r="AC374" s="112">
        <f t="shared" si="94"/>
        <v>1</v>
      </c>
      <c r="AD374" s="112">
        <f t="shared" si="95"/>
        <v>-1</v>
      </c>
    </row>
    <row r="375" spans="1:30" x14ac:dyDescent="0.2">
      <c r="A375" s="112">
        <f>IF(SUM(Q375:R375)=1,1+MAX($A$1:A374),"")</f>
        <v>22</v>
      </c>
      <c r="B375" s="112" t="str">
        <f>IF(SUM(X375:Y375)=1,1+MAX($B$1:B374),"")</f>
        <v/>
      </c>
      <c r="C375" s="112" t="str">
        <f>IF(SUM(Q375:R375,X375:Y375)=2,1+MAX($C$1:C374),"")</f>
        <v/>
      </c>
      <c r="D375" s="113">
        <v>33061</v>
      </c>
      <c r="E375" s="112">
        <v>1990</v>
      </c>
      <c r="F375" s="112" t="s">
        <v>2602</v>
      </c>
      <c r="H375" s="114" t="s">
        <v>2545</v>
      </c>
      <c r="I375" s="112">
        <f t="shared" si="80"/>
        <v>1</v>
      </c>
      <c r="J375" s="112">
        <f t="shared" si="81"/>
        <v>2</v>
      </c>
      <c r="K375" s="115" t="s">
        <v>2674</v>
      </c>
      <c r="L375" s="115" t="s">
        <v>2922</v>
      </c>
      <c r="M375" s="115" t="s">
        <v>2895</v>
      </c>
      <c r="N375" s="115">
        <v>51426</v>
      </c>
      <c r="O375" s="112">
        <v>2</v>
      </c>
      <c r="P375" s="116" t="s">
        <v>2638</v>
      </c>
      <c r="Q375" s="112">
        <f t="shared" si="82"/>
        <v>1</v>
      </c>
      <c r="R375" s="112" t="str">
        <f t="shared" si="83"/>
        <v/>
      </c>
      <c r="S375" s="112">
        <f t="shared" si="86"/>
        <v>0</v>
      </c>
      <c r="T375" s="112">
        <f t="shared" si="87"/>
        <v>0</v>
      </c>
      <c r="U375" s="112">
        <f t="shared" si="88"/>
        <v>1</v>
      </c>
      <c r="V375" s="112">
        <f t="shared" si="89"/>
        <v>3</v>
      </c>
      <c r="W375" s="112">
        <f t="shared" si="90"/>
        <v>-1</v>
      </c>
      <c r="X375" s="112" t="str">
        <f t="shared" si="84"/>
        <v/>
      </c>
      <c r="Y375" s="112" t="str">
        <f t="shared" si="85"/>
        <v/>
      </c>
      <c r="Z375" s="112" t="str">
        <f t="shared" si="91"/>
        <v/>
      </c>
      <c r="AA375" s="112" t="str">
        <f t="shared" si="92"/>
        <v/>
      </c>
      <c r="AB375" s="112" t="str">
        <f t="shared" si="93"/>
        <v/>
      </c>
      <c r="AC375" s="112" t="str">
        <f t="shared" si="94"/>
        <v/>
      </c>
      <c r="AD375" s="112" t="str">
        <f t="shared" si="95"/>
        <v/>
      </c>
    </row>
    <row r="376" spans="1:30" x14ac:dyDescent="0.2">
      <c r="A376" s="112">
        <f>IF(SUM(Q376:R376)=1,1+MAX($A$1:A375),"")</f>
        <v>23</v>
      </c>
      <c r="B376" s="112" t="str">
        <f>IF(SUM(X376:Y376)=1,1+MAX($B$1:B375),"")</f>
        <v/>
      </c>
      <c r="C376" s="112" t="str">
        <f>IF(SUM(Q376:R376,X376:Y376)=2,1+MAX($C$1:C375),"")</f>
        <v/>
      </c>
      <c r="D376" s="113">
        <v>33058</v>
      </c>
      <c r="E376" s="112">
        <v>1990</v>
      </c>
      <c r="F376" s="112" t="s">
        <v>2609</v>
      </c>
      <c r="H376" s="114" t="s">
        <v>2545</v>
      </c>
      <c r="I376" s="112">
        <f t="shared" si="80"/>
        <v>1</v>
      </c>
      <c r="J376" s="112">
        <f t="shared" si="81"/>
        <v>1</v>
      </c>
      <c r="K376" s="115" t="s">
        <v>2547</v>
      </c>
      <c r="L376" s="115" t="s">
        <v>2923</v>
      </c>
      <c r="M376" s="115" t="s">
        <v>2924</v>
      </c>
      <c r="N376" s="115">
        <v>62628</v>
      </c>
      <c r="O376" s="112">
        <v>2</v>
      </c>
      <c r="P376" s="116" t="s">
        <v>2645</v>
      </c>
      <c r="Q376" s="112">
        <f t="shared" si="82"/>
        <v>1</v>
      </c>
      <c r="R376" s="112" t="str">
        <f t="shared" si="83"/>
        <v/>
      </c>
      <c r="S376" s="112">
        <f t="shared" si="86"/>
        <v>0</v>
      </c>
      <c r="T376" s="112">
        <f t="shared" si="87"/>
        <v>1</v>
      </c>
      <c r="U376" s="112">
        <f t="shared" si="88"/>
        <v>0</v>
      </c>
      <c r="V376" s="112">
        <f t="shared" si="89"/>
        <v>2</v>
      </c>
      <c r="W376" s="112">
        <f t="shared" si="90"/>
        <v>0</v>
      </c>
      <c r="X376" s="112" t="str">
        <f t="shared" si="84"/>
        <v/>
      </c>
      <c r="Y376" s="112" t="str">
        <f t="shared" si="85"/>
        <v/>
      </c>
      <c r="Z376" s="112" t="str">
        <f t="shared" si="91"/>
        <v/>
      </c>
      <c r="AA376" s="112" t="str">
        <f t="shared" si="92"/>
        <v/>
      </c>
      <c r="AB376" s="112" t="str">
        <f t="shared" si="93"/>
        <v/>
      </c>
      <c r="AC376" s="112" t="str">
        <f t="shared" si="94"/>
        <v/>
      </c>
      <c r="AD376" s="112" t="str">
        <f t="shared" si="95"/>
        <v/>
      </c>
    </row>
    <row r="377" spans="1:30" x14ac:dyDescent="0.2">
      <c r="A377" s="112" t="str">
        <f>IF(SUM(Q377:R377)=1,1+MAX($A$1:A376),"")</f>
        <v/>
      </c>
      <c r="B377" s="112">
        <f>IF(SUM(X377:Y377)=1,1+MAX($B$1:B376),"")</f>
        <v>31</v>
      </c>
      <c r="C377" s="112" t="str">
        <f>IF(SUM(Q377:R377,X377:Y377)=2,1+MAX($C$1:C376),"")</f>
        <v/>
      </c>
      <c r="D377" s="113">
        <v>33057</v>
      </c>
      <c r="E377" s="112">
        <v>1990</v>
      </c>
      <c r="F377" s="112" t="s">
        <v>2609</v>
      </c>
      <c r="H377" s="114" t="s">
        <v>1134</v>
      </c>
      <c r="I377" s="112">
        <f t="shared" si="80"/>
        <v>1</v>
      </c>
      <c r="J377" s="112">
        <f t="shared" si="81"/>
        <v>1</v>
      </c>
      <c r="K377" s="115" t="s">
        <v>2674</v>
      </c>
      <c r="L377" s="115" t="s">
        <v>2925</v>
      </c>
      <c r="M377" s="115" t="s">
        <v>2926</v>
      </c>
      <c r="N377" s="115">
        <v>59978</v>
      </c>
      <c r="O377" s="112">
        <v>2</v>
      </c>
      <c r="P377" s="116" t="s">
        <v>2645</v>
      </c>
      <c r="Q377" s="112" t="str">
        <f t="shared" si="82"/>
        <v/>
      </c>
      <c r="R377" s="112" t="str">
        <f t="shared" si="83"/>
        <v/>
      </c>
      <c r="S377" s="112" t="str">
        <f t="shared" si="86"/>
        <v/>
      </c>
      <c r="T377" s="112" t="str">
        <f t="shared" si="87"/>
        <v/>
      </c>
      <c r="U377" s="112" t="str">
        <f t="shared" si="88"/>
        <v/>
      </c>
      <c r="V377" s="112" t="str">
        <f t="shared" si="89"/>
        <v/>
      </c>
      <c r="W377" s="112" t="str">
        <f t="shared" si="90"/>
        <v/>
      </c>
      <c r="X377" s="112">
        <f t="shared" si="84"/>
        <v>1</v>
      </c>
      <c r="Y377" s="112" t="str">
        <f t="shared" si="85"/>
        <v/>
      </c>
      <c r="Z377" s="112">
        <f t="shared" si="91"/>
        <v>0</v>
      </c>
      <c r="AA377" s="112">
        <f t="shared" si="92"/>
        <v>1</v>
      </c>
      <c r="AB377" s="112">
        <f t="shared" si="93"/>
        <v>0</v>
      </c>
      <c r="AC377" s="112">
        <f t="shared" si="94"/>
        <v>2</v>
      </c>
      <c r="AD377" s="112">
        <f t="shared" si="95"/>
        <v>0</v>
      </c>
    </row>
    <row r="378" spans="1:30" x14ac:dyDescent="0.2">
      <c r="A378" s="112">
        <f>IF(SUM(Q378:R378)=1,1+MAX($A$1:A377),"")</f>
        <v>24</v>
      </c>
      <c r="B378" s="112" t="str">
        <f>IF(SUM(X378:Y378)=1,1+MAX($B$1:B377),"")</f>
        <v/>
      </c>
      <c r="C378" s="112" t="str">
        <f>IF(SUM(Q378:R378,X378:Y378)=2,1+MAX($C$1:C377),"")</f>
        <v/>
      </c>
      <c r="D378" s="113">
        <v>33055</v>
      </c>
      <c r="E378" s="112">
        <v>1990</v>
      </c>
      <c r="F378" s="112" t="s">
        <v>2618</v>
      </c>
      <c r="H378" s="114" t="s">
        <v>2693</v>
      </c>
      <c r="I378" s="112">
        <f t="shared" si="80"/>
        <v>2</v>
      </c>
      <c r="J378" s="112">
        <f t="shared" si="81"/>
        <v>3</v>
      </c>
      <c r="K378" s="115" t="s">
        <v>2545</v>
      </c>
      <c r="L378" s="115" t="s">
        <v>2925</v>
      </c>
      <c r="M378" s="115" t="s">
        <v>2921</v>
      </c>
      <c r="N378" s="115">
        <v>55205</v>
      </c>
      <c r="O378" s="112">
        <v>2</v>
      </c>
      <c r="P378" s="116" t="s">
        <v>2706</v>
      </c>
      <c r="Q378" s="112" t="str">
        <f t="shared" si="82"/>
        <v/>
      </c>
      <c r="R378" s="112">
        <f t="shared" si="83"/>
        <v>1</v>
      </c>
      <c r="S378" s="112">
        <f t="shared" si="86"/>
        <v>1</v>
      </c>
      <c r="T378" s="112">
        <f t="shared" si="87"/>
        <v>0</v>
      </c>
      <c r="U378" s="112">
        <f t="shared" si="88"/>
        <v>0</v>
      </c>
      <c r="V378" s="112">
        <f t="shared" si="89"/>
        <v>5</v>
      </c>
      <c r="W378" s="112">
        <f t="shared" si="90"/>
        <v>1</v>
      </c>
      <c r="X378" s="112" t="str">
        <f t="shared" si="84"/>
        <v/>
      </c>
      <c r="Y378" s="112" t="str">
        <f t="shared" si="85"/>
        <v/>
      </c>
      <c r="Z378" s="112" t="str">
        <f t="shared" si="91"/>
        <v/>
      </c>
      <c r="AA378" s="112" t="str">
        <f t="shared" si="92"/>
        <v/>
      </c>
      <c r="AB378" s="112" t="str">
        <f t="shared" si="93"/>
        <v/>
      </c>
      <c r="AC378" s="112" t="str">
        <f t="shared" si="94"/>
        <v/>
      </c>
      <c r="AD378" s="112" t="str">
        <f t="shared" si="95"/>
        <v/>
      </c>
    </row>
    <row r="379" spans="1:30" x14ac:dyDescent="0.2">
      <c r="A379" s="112" t="str">
        <f>IF(SUM(Q379:R379)=1,1+MAX($A$1:A378),"")</f>
        <v/>
      </c>
      <c r="B379" s="112" t="str">
        <f>IF(SUM(X379:Y379)=1,1+MAX($B$1:B378),"")</f>
        <v/>
      </c>
      <c r="C379" s="112" t="str">
        <f>IF(SUM(Q379:R379,X379:Y379)=2,1+MAX($C$1:C378),"")</f>
        <v/>
      </c>
      <c r="D379" s="113">
        <v>33055</v>
      </c>
      <c r="E379" s="112">
        <v>1990</v>
      </c>
      <c r="F379" s="112" t="s">
        <v>2618</v>
      </c>
      <c r="H379" s="114" t="s">
        <v>2648</v>
      </c>
      <c r="I379" s="112">
        <f t="shared" si="80"/>
        <v>0</v>
      </c>
      <c r="J379" s="112">
        <f t="shared" si="81"/>
        <v>1</v>
      </c>
      <c r="K379" s="115" t="s">
        <v>2547</v>
      </c>
      <c r="L379" s="115" t="s">
        <v>2927</v>
      </c>
      <c r="M379" s="115" t="s">
        <v>2928</v>
      </c>
      <c r="N379" s="115">
        <v>73347</v>
      </c>
      <c r="O379" s="112">
        <v>2</v>
      </c>
      <c r="P379" s="116" t="s">
        <v>2601</v>
      </c>
      <c r="Q379" s="112" t="str">
        <f t="shared" si="82"/>
        <v/>
      </c>
      <c r="R379" s="112" t="str">
        <f t="shared" si="83"/>
        <v/>
      </c>
      <c r="S379" s="112" t="str">
        <f t="shared" si="86"/>
        <v/>
      </c>
      <c r="T379" s="112" t="str">
        <f t="shared" si="87"/>
        <v/>
      </c>
      <c r="U379" s="112" t="str">
        <f t="shared" si="88"/>
        <v/>
      </c>
      <c r="V379" s="112" t="str">
        <f t="shared" si="89"/>
        <v/>
      </c>
      <c r="W379" s="112" t="str">
        <f t="shared" si="90"/>
        <v/>
      </c>
      <c r="X379" s="112" t="str">
        <f t="shared" si="84"/>
        <v/>
      </c>
      <c r="Y379" s="112" t="str">
        <f t="shared" si="85"/>
        <v/>
      </c>
      <c r="Z379" s="112" t="str">
        <f t="shared" si="91"/>
        <v/>
      </c>
      <c r="AA379" s="112" t="str">
        <f t="shared" si="92"/>
        <v/>
      </c>
      <c r="AB379" s="112" t="str">
        <f t="shared" si="93"/>
        <v/>
      </c>
      <c r="AC379" s="112" t="str">
        <f t="shared" si="94"/>
        <v/>
      </c>
      <c r="AD379" s="112" t="str">
        <f t="shared" si="95"/>
        <v/>
      </c>
    </row>
    <row r="380" spans="1:30" x14ac:dyDescent="0.2">
      <c r="A380" s="112" t="str">
        <f>IF(SUM(Q380:R380)=1,1+MAX($A$1:A379),"")</f>
        <v/>
      </c>
      <c r="B380" s="112" t="str">
        <f>IF(SUM(X380:Y380)=1,1+MAX($B$1:B379),"")</f>
        <v/>
      </c>
      <c r="C380" s="112" t="str">
        <f>IF(SUM(Q380:R380,X380:Y380)=2,1+MAX($C$1:C379),"")</f>
        <v/>
      </c>
      <c r="D380" s="113">
        <v>33054</v>
      </c>
      <c r="E380" s="112">
        <v>1990</v>
      </c>
      <c r="F380" s="112" t="s">
        <v>2618</v>
      </c>
      <c r="H380" s="114" t="s">
        <v>2676</v>
      </c>
      <c r="I380" s="112">
        <f t="shared" si="80"/>
        <v>0</v>
      </c>
      <c r="J380" s="112">
        <f t="shared" si="81"/>
        <v>1</v>
      </c>
      <c r="K380" s="115" t="s">
        <v>2674</v>
      </c>
      <c r="L380" s="115" t="s">
        <v>2920</v>
      </c>
      <c r="M380" s="115" t="s">
        <v>2929</v>
      </c>
      <c r="N380" s="115">
        <v>73303</v>
      </c>
      <c r="O380" s="112">
        <v>2</v>
      </c>
      <c r="P380" s="116" t="s">
        <v>2601</v>
      </c>
      <c r="Q380" s="112" t="str">
        <f t="shared" si="82"/>
        <v/>
      </c>
      <c r="R380" s="112" t="str">
        <f t="shared" si="83"/>
        <v/>
      </c>
      <c r="S380" s="112" t="str">
        <f t="shared" si="86"/>
        <v/>
      </c>
      <c r="T380" s="112" t="str">
        <f t="shared" si="87"/>
        <v/>
      </c>
      <c r="U380" s="112" t="str">
        <f t="shared" si="88"/>
        <v/>
      </c>
      <c r="V380" s="112" t="str">
        <f t="shared" si="89"/>
        <v/>
      </c>
      <c r="W380" s="112" t="str">
        <f t="shared" si="90"/>
        <v/>
      </c>
      <c r="X380" s="112" t="str">
        <f t="shared" si="84"/>
        <v/>
      </c>
      <c r="Y380" s="112" t="str">
        <f t="shared" si="85"/>
        <v/>
      </c>
      <c r="Z380" s="112" t="str">
        <f t="shared" si="91"/>
        <v/>
      </c>
      <c r="AA380" s="112" t="str">
        <f t="shared" si="92"/>
        <v/>
      </c>
      <c r="AB380" s="112" t="str">
        <f t="shared" si="93"/>
        <v/>
      </c>
      <c r="AC380" s="112" t="str">
        <f t="shared" si="94"/>
        <v/>
      </c>
      <c r="AD380" s="112" t="str">
        <f t="shared" si="95"/>
        <v/>
      </c>
    </row>
    <row r="381" spans="1:30" x14ac:dyDescent="0.2">
      <c r="A381" s="112" t="str">
        <f>IF(SUM(Q381:R381)=1,1+MAX($A$1:A380),"")</f>
        <v/>
      </c>
      <c r="B381" s="112">
        <f>IF(SUM(X381:Y381)=1,1+MAX($B$1:B380),"")</f>
        <v>32</v>
      </c>
      <c r="C381" s="112" t="str">
        <f>IF(SUM(Q381:R381,X381:Y381)=2,1+MAX($C$1:C380),"")</f>
        <v/>
      </c>
      <c r="D381" s="113">
        <v>33054</v>
      </c>
      <c r="E381" s="112">
        <v>1990</v>
      </c>
      <c r="F381" s="112" t="s">
        <v>2618</v>
      </c>
      <c r="H381" s="114" t="s">
        <v>1134</v>
      </c>
      <c r="I381" s="112">
        <f t="shared" si="80"/>
        <v>0</v>
      </c>
      <c r="J381" s="112">
        <f t="shared" si="81"/>
        <v>0</v>
      </c>
      <c r="K381" s="115" t="s">
        <v>2862</v>
      </c>
      <c r="L381" s="115" t="s">
        <v>2930</v>
      </c>
      <c r="M381" s="115" t="s">
        <v>2908</v>
      </c>
      <c r="N381" s="115">
        <v>38971</v>
      </c>
      <c r="O381" s="112">
        <v>2</v>
      </c>
      <c r="P381" s="116" t="s">
        <v>2613</v>
      </c>
      <c r="Q381" s="112" t="str">
        <f t="shared" si="82"/>
        <v/>
      </c>
      <c r="R381" s="112" t="str">
        <f t="shared" si="83"/>
        <v/>
      </c>
      <c r="S381" s="112" t="str">
        <f t="shared" si="86"/>
        <v/>
      </c>
      <c r="T381" s="112" t="str">
        <f t="shared" si="87"/>
        <v/>
      </c>
      <c r="U381" s="112" t="str">
        <f t="shared" si="88"/>
        <v/>
      </c>
      <c r="V381" s="112" t="str">
        <f t="shared" si="89"/>
        <v/>
      </c>
      <c r="W381" s="112" t="str">
        <f t="shared" si="90"/>
        <v/>
      </c>
      <c r="X381" s="112">
        <f t="shared" si="84"/>
        <v>1</v>
      </c>
      <c r="Y381" s="112" t="str">
        <f t="shared" si="85"/>
        <v/>
      </c>
      <c r="Z381" s="112">
        <f t="shared" si="91"/>
        <v>0</v>
      </c>
      <c r="AA381" s="112">
        <f t="shared" si="92"/>
        <v>1</v>
      </c>
      <c r="AB381" s="112">
        <f t="shared" si="93"/>
        <v>0</v>
      </c>
      <c r="AC381" s="112">
        <f t="shared" si="94"/>
        <v>0</v>
      </c>
      <c r="AD381" s="112">
        <f t="shared" si="95"/>
        <v>0</v>
      </c>
    </row>
    <row r="382" spans="1:30" x14ac:dyDescent="0.2">
      <c r="A382" s="112">
        <f>IF(SUM(Q382:R382)=1,1+MAX($A$1:A381),"")</f>
        <v>25</v>
      </c>
      <c r="B382" s="112" t="str">
        <f>IF(SUM(X382:Y382)=1,1+MAX($B$1:B381),"")</f>
        <v/>
      </c>
      <c r="C382" s="112" t="str">
        <f>IF(SUM(Q382:R382,X382:Y382)=2,1+MAX($C$1:C381),"")</f>
        <v/>
      </c>
      <c r="D382" s="113">
        <v>33050</v>
      </c>
      <c r="E382" s="112">
        <v>1990</v>
      </c>
      <c r="F382" s="112" t="s">
        <v>2629</v>
      </c>
      <c r="H382" s="114" t="s">
        <v>2554</v>
      </c>
      <c r="I382" s="112">
        <f t="shared" si="80"/>
        <v>0</v>
      </c>
      <c r="J382" s="112">
        <f t="shared" si="81"/>
        <v>1</v>
      </c>
      <c r="K382" s="115" t="s">
        <v>2545</v>
      </c>
      <c r="L382" s="115" t="s">
        <v>2931</v>
      </c>
      <c r="M382" s="115" t="s">
        <v>2903</v>
      </c>
      <c r="N382" s="115">
        <v>34520</v>
      </c>
      <c r="O382" s="112">
        <v>2</v>
      </c>
      <c r="P382" s="116" t="s">
        <v>2601</v>
      </c>
      <c r="Q382" s="112" t="str">
        <f t="shared" si="82"/>
        <v/>
      </c>
      <c r="R382" s="112">
        <f t="shared" si="83"/>
        <v>1</v>
      </c>
      <c r="S382" s="112">
        <f t="shared" si="86"/>
        <v>1</v>
      </c>
      <c r="T382" s="112">
        <f t="shared" si="87"/>
        <v>0</v>
      </c>
      <c r="U382" s="112">
        <f t="shared" si="88"/>
        <v>0</v>
      </c>
      <c r="V382" s="112">
        <f t="shared" si="89"/>
        <v>1</v>
      </c>
      <c r="W382" s="112">
        <f t="shared" si="90"/>
        <v>1</v>
      </c>
      <c r="X382" s="112" t="str">
        <f t="shared" si="84"/>
        <v/>
      </c>
      <c r="Y382" s="112" t="str">
        <f t="shared" si="85"/>
        <v/>
      </c>
      <c r="Z382" s="112" t="str">
        <f t="shared" si="91"/>
        <v/>
      </c>
      <c r="AA382" s="112" t="str">
        <f t="shared" si="92"/>
        <v/>
      </c>
      <c r="AB382" s="112" t="str">
        <f t="shared" si="93"/>
        <v/>
      </c>
      <c r="AC382" s="112" t="str">
        <f t="shared" si="94"/>
        <v/>
      </c>
      <c r="AD382" s="112" t="str">
        <f t="shared" si="95"/>
        <v/>
      </c>
    </row>
    <row r="383" spans="1:30" x14ac:dyDescent="0.2">
      <c r="A383" s="112" t="str">
        <f>IF(SUM(Q383:R383)=1,1+MAX($A$1:A382),"")</f>
        <v/>
      </c>
      <c r="B383" s="112" t="str">
        <f>IF(SUM(X383:Y383)=1,1+MAX($B$1:B382),"")</f>
        <v/>
      </c>
      <c r="C383" s="112" t="str">
        <f>IF(SUM(Q383:R383,X383:Y383)=2,1+MAX($C$1:C382),"")</f>
        <v/>
      </c>
      <c r="D383" s="113">
        <v>33050</v>
      </c>
      <c r="E383" s="112">
        <v>1990</v>
      </c>
      <c r="F383" s="112" t="s">
        <v>2629</v>
      </c>
      <c r="H383" s="114" t="s">
        <v>2557</v>
      </c>
      <c r="I383" s="112">
        <f t="shared" si="80"/>
        <v>1</v>
      </c>
      <c r="J383" s="112">
        <f t="shared" si="81"/>
        <v>2</v>
      </c>
      <c r="K383" s="115" t="s">
        <v>2862</v>
      </c>
      <c r="L383" s="115" t="s">
        <v>2932</v>
      </c>
      <c r="M383" s="115" t="s">
        <v>2933</v>
      </c>
      <c r="N383" s="115">
        <v>35500</v>
      </c>
      <c r="O383" s="112">
        <v>2</v>
      </c>
      <c r="P383" s="116" t="s">
        <v>2638</v>
      </c>
      <c r="Q383" s="112" t="str">
        <f t="shared" si="82"/>
        <v/>
      </c>
      <c r="R383" s="112" t="str">
        <f t="shared" si="83"/>
        <v/>
      </c>
      <c r="S383" s="112" t="str">
        <f t="shared" si="86"/>
        <v/>
      </c>
      <c r="T383" s="112" t="str">
        <f t="shared" si="87"/>
        <v/>
      </c>
      <c r="U383" s="112" t="str">
        <f t="shared" si="88"/>
        <v/>
      </c>
      <c r="V383" s="112" t="str">
        <f t="shared" si="89"/>
        <v/>
      </c>
      <c r="W383" s="112" t="str">
        <f t="shared" si="90"/>
        <v/>
      </c>
      <c r="X383" s="112" t="str">
        <f t="shared" si="84"/>
        <v/>
      </c>
      <c r="Y383" s="112" t="str">
        <f t="shared" si="85"/>
        <v/>
      </c>
      <c r="Z383" s="112" t="str">
        <f t="shared" si="91"/>
        <v/>
      </c>
      <c r="AA383" s="112" t="str">
        <f t="shared" si="92"/>
        <v/>
      </c>
      <c r="AB383" s="112" t="str">
        <f t="shared" si="93"/>
        <v/>
      </c>
      <c r="AC383" s="112" t="str">
        <f t="shared" si="94"/>
        <v/>
      </c>
      <c r="AD383" s="112" t="str">
        <f t="shared" si="95"/>
        <v/>
      </c>
    </row>
    <row r="384" spans="1:30" x14ac:dyDescent="0.2">
      <c r="A384" s="112" t="str">
        <f>IF(SUM(Q384:R384)=1,1+MAX($A$1:A383),"")</f>
        <v/>
      </c>
      <c r="B384" s="112" t="str">
        <f>IF(SUM(X384:Y384)=1,1+MAX($B$1:B383),"")</f>
        <v/>
      </c>
      <c r="C384" s="112" t="str">
        <f>IF(SUM(Q384:R384,X384:Y384)=2,1+MAX($C$1:C383),"")</f>
        <v/>
      </c>
      <c r="D384" s="113">
        <v>33049</v>
      </c>
      <c r="E384" s="112">
        <v>1990</v>
      </c>
      <c r="F384" s="112" t="s">
        <v>2629</v>
      </c>
      <c r="H384" s="114" t="s">
        <v>2674</v>
      </c>
      <c r="I384" s="112">
        <f t="shared" si="80"/>
        <v>2</v>
      </c>
      <c r="J384" s="112">
        <f t="shared" si="81"/>
        <v>0</v>
      </c>
      <c r="K384" s="115" t="s">
        <v>2540</v>
      </c>
      <c r="L384" s="115" t="s">
        <v>2920</v>
      </c>
      <c r="M384" s="115" t="s">
        <v>2934</v>
      </c>
      <c r="N384" s="115">
        <v>73303</v>
      </c>
      <c r="O384" s="112">
        <v>3</v>
      </c>
      <c r="P384" s="116" t="s">
        <v>2641</v>
      </c>
      <c r="Q384" s="112" t="str">
        <f t="shared" si="82"/>
        <v/>
      </c>
      <c r="R384" s="112" t="str">
        <f t="shared" si="83"/>
        <v/>
      </c>
      <c r="S384" s="112" t="str">
        <f t="shared" si="86"/>
        <v/>
      </c>
      <c r="T384" s="112" t="str">
        <f t="shared" si="87"/>
        <v/>
      </c>
      <c r="U384" s="112" t="str">
        <f t="shared" si="88"/>
        <v/>
      </c>
      <c r="V384" s="112" t="str">
        <f t="shared" si="89"/>
        <v/>
      </c>
      <c r="W384" s="112" t="str">
        <f t="shared" si="90"/>
        <v/>
      </c>
      <c r="X384" s="112" t="str">
        <f t="shared" si="84"/>
        <v/>
      </c>
      <c r="Y384" s="112" t="str">
        <f t="shared" si="85"/>
        <v/>
      </c>
      <c r="Z384" s="112" t="str">
        <f t="shared" si="91"/>
        <v/>
      </c>
      <c r="AA384" s="112" t="str">
        <f t="shared" si="92"/>
        <v/>
      </c>
      <c r="AB384" s="112" t="str">
        <f t="shared" si="93"/>
        <v/>
      </c>
      <c r="AC384" s="112" t="str">
        <f t="shared" si="94"/>
        <v/>
      </c>
      <c r="AD384" s="112" t="str">
        <f t="shared" si="95"/>
        <v/>
      </c>
    </row>
    <row r="385" spans="1:30" x14ac:dyDescent="0.2">
      <c r="A385" s="112" t="str">
        <f>IF(SUM(Q385:R385)=1,1+MAX($A$1:A384),"")</f>
        <v/>
      </c>
      <c r="B385" s="112" t="str">
        <f>IF(SUM(X385:Y385)=1,1+MAX($B$1:B384),"")</f>
        <v/>
      </c>
      <c r="C385" s="112" t="str">
        <f>IF(SUM(Q385:R385,X385:Y385)=2,1+MAX($C$1:C384),"")</f>
        <v/>
      </c>
      <c r="D385" s="113">
        <v>33049</v>
      </c>
      <c r="E385" s="112">
        <v>1990</v>
      </c>
      <c r="F385" s="112" t="s">
        <v>2629</v>
      </c>
      <c r="H385" s="114" t="s">
        <v>2676</v>
      </c>
      <c r="I385" s="112">
        <f t="shared" si="80"/>
        <v>0</v>
      </c>
      <c r="J385" s="112">
        <f t="shared" si="81"/>
        <v>0</v>
      </c>
      <c r="K385" s="115" t="s">
        <v>2711</v>
      </c>
      <c r="L385" s="115" t="s">
        <v>2935</v>
      </c>
      <c r="M385" s="115" t="s">
        <v>2924</v>
      </c>
      <c r="N385" s="115">
        <v>31818</v>
      </c>
      <c r="O385" s="112">
        <v>2</v>
      </c>
      <c r="P385" s="116" t="s">
        <v>2613</v>
      </c>
      <c r="Q385" s="112" t="str">
        <f t="shared" si="82"/>
        <v/>
      </c>
      <c r="R385" s="112" t="str">
        <f t="shared" si="83"/>
        <v/>
      </c>
      <c r="S385" s="112" t="str">
        <f t="shared" si="86"/>
        <v/>
      </c>
      <c r="T385" s="112" t="str">
        <f t="shared" si="87"/>
        <v/>
      </c>
      <c r="U385" s="112" t="str">
        <f t="shared" si="88"/>
        <v/>
      </c>
      <c r="V385" s="112" t="str">
        <f t="shared" si="89"/>
        <v/>
      </c>
      <c r="W385" s="112" t="str">
        <f t="shared" si="90"/>
        <v/>
      </c>
      <c r="X385" s="112" t="str">
        <f t="shared" si="84"/>
        <v/>
      </c>
      <c r="Y385" s="112" t="str">
        <f t="shared" si="85"/>
        <v/>
      </c>
      <c r="Z385" s="112" t="str">
        <f t="shared" si="91"/>
        <v/>
      </c>
      <c r="AA385" s="112" t="str">
        <f t="shared" si="92"/>
        <v/>
      </c>
      <c r="AB385" s="112" t="str">
        <f t="shared" si="93"/>
        <v/>
      </c>
      <c r="AC385" s="112" t="str">
        <f t="shared" si="94"/>
        <v/>
      </c>
      <c r="AD385" s="112" t="str">
        <f t="shared" si="95"/>
        <v/>
      </c>
    </row>
    <row r="386" spans="1:30" x14ac:dyDescent="0.2">
      <c r="A386" s="112" t="str">
        <f>IF(SUM(Q386:R386)=1,1+MAX($A$1:A385),"")</f>
        <v/>
      </c>
      <c r="B386" s="112" t="str">
        <f>IF(SUM(X386:Y386)=1,1+MAX($B$1:B385),"")</f>
        <v/>
      </c>
      <c r="C386" s="112" t="str">
        <f>IF(SUM(Q386:R386,X386:Y386)=2,1+MAX($C$1:C385),"")</f>
        <v/>
      </c>
      <c r="D386" s="113">
        <v>33048</v>
      </c>
      <c r="E386" s="112">
        <v>1990</v>
      </c>
      <c r="F386" s="112" t="s">
        <v>2629</v>
      </c>
      <c r="H386" s="114" t="s">
        <v>2547</v>
      </c>
      <c r="I386" s="112">
        <f t="shared" ref="I386:I449" si="96">INT(LEFT(P386,FIND("-",P386)-1))</f>
        <v>2</v>
      </c>
      <c r="J386" s="112">
        <f t="shared" ref="J386:J449" si="97">INT(RIGHT(P386,LEN(P386)-FIND("-",P386)-1))</f>
        <v>1</v>
      </c>
      <c r="K386" s="115" t="s">
        <v>2604</v>
      </c>
      <c r="L386" s="115" t="s">
        <v>2927</v>
      </c>
      <c r="M386" s="115" t="s">
        <v>2936</v>
      </c>
      <c r="N386" s="115">
        <v>74559</v>
      </c>
      <c r="O386" s="112">
        <v>2</v>
      </c>
      <c r="P386" s="116" t="s">
        <v>2626</v>
      </c>
      <c r="Q386" s="112" t="str">
        <f t="shared" ref="Q386:Q449" si="98">IF(H386=team1,1,"")</f>
        <v/>
      </c>
      <c r="R386" s="112" t="str">
        <f t="shared" ref="R386:R449" si="99">IF(K386=team1,1,"")</f>
        <v/>
      </c>
      <c r="S386" s="112" t="str">
        <f t="shared" si="86"/>
        <v/>
      </c>
      <c r="T386" s="112" t="str">
        <f t="shared" si="87"/>
        <v/>
      </c>
      <c r="U386" s="112" t="str">
        <f t="shared" si="88"/>
        <v/>
      </c>
      <c r="V386" s="112" t="str">
        <f t="shared" si="89"/>
        <v/>
      </c>
      <c r="W386" s="112" t="str">
        <f t="shared" si="90"/>
        <v/>
      </c>
      <c r="X386" s="112" t="str">
        <f t="shared" ref="X386:X449" si="100">IF(H386=team2,1,"")</f>
        <v/>
      </c>
      <c r="Y386" s="112" t="str">
        <f t="shared" ref="Y386:Y449" si="101">IF(K386=team2,1,"")</f>
        <v/>
      </c>
      <c r="Z386" s="112" t="str">
        <f t="shared" si="91"/>
        <v/>
      </c>
      <c r="AA386" s="112" t="str">
        <f t="shared" si="92"/>
        <v/>
      </c>
      <c r="AB386" s="112" t="str">
        <f t="shared" si="93"/>
        <v/>
      </c>
      <c r="AC386" s="112" t="str">
        <f t="shared" si="94"/>
        <v/>
      </c>
      <c r="AD386" s="112" t="str">
        <f t="shared" si="95"/>
        <v/>
      </c>
    </row>
    <row r="387" spans="1:30" x14ac:dyDescent="0.2">
      <c r="A387" s="112" t="str">
        <f>IF(SUM(Q387:R387)=1,1+MAX($A$1:A386),"")</f>
        <v/>
      </c>
      <c r="B387" s="112">
        <f>IF(SUM(X387:Y387)=1,1+MAX($B$1:B386),"")</f>
        <v>33</v>
      </c>
      <c r="C387" s="112" t="str">
        <f>IF(SUM(Q387:R387,X387:Y387)=2,1+MAX($C$1:C386),"")</f>
        <v/>
      </c>
      <c r="D387" s="113">
        <v>33048</v>
      </c>
      <c r="E387" s="112">
        <v>1990</v>
      </c>
      <c r="F387" s="112" t="s">
        <v>2629</v>
      </c>
      <c r="H387" s="114" t="s">
        <v>1134</v>
      </c>
      <c r="I387" s="112">
        <f t="shared" si="96"/>
        <v>1</v>
      </c>
      <c r="J387" s="112">
        <f t="shared" si="97"/>
        <v>0</v>
      </c>
      <c r="K387" s="115" t="s">
        <v>1442</v>
      </c>
      <c r="L387" s="115" t="s">
        <v>2923</v>
      </c>
      <c r="M387" s="115" t="s">
        <v>2895</v>
      </c>
      <c r="N387" s="115">
        <v>61381</v>
      </c>
      <c r="O387" s="112">
        <v>2</v>
      </c>
      <c r="P387" s="116" t="s">
        <v>2622</v>
      </c>
      <c r="Q387" s="112" t="str">
        <f t="shared" si="98"/>
        <v/>
      </c>
      <c r="R387" s="112" t="str">
        <f t="shared" si="99"/>
        <v/>
      </c>
      <c r="S387" s="112" t="str">
        <f t="shared" ref="S387:S450" si="102">IF(Q387=1,IF($I387&gt;$J387,1,0),IF(R387=1,IF($I387&lt;$J387,1,0),""))</f>
        <v/>
      </c>
      <c r="T387" s="112" t="str">
        <f t="shared" ref="T387:T450" si="103">IF(Q387=1,IF($I387=$J387,1,0),IF(R387=1,IF($I387=$J387,1,0),""))</f>
        <v/>
      </c>
      <c r="U387" s="112" t="str">
        <f t="shared" ref="U387:U450" si="104">IF(Q387=1,IF($I387&lt;$J387,1,0),IF(R387=1,IF($I387&gt;$J387,1,0),""))</f>
        <v/>
      </c>
      <c r="V387" s="112" t="str">
        <f t="shared" ref="V387:V450" si="105">IF(SUM(Q387:R387)=1,$I387+$J387,"")</f>
        <v/>
      </c>
      <c r="W387" s="112" t="str">
        <f t="shared" ref="W387:W450" si="106">IF(Q387=1,$I387-$J387,IF(R387=1,-($I387-$J387),""))</f>
        <v/>
      </c>
      <c r="X387" s="112">
        <f t="shared" si="100"/>
        <v>1</v>
      </c>
      <c r="Y387" s="112" t="str">
        <f t="shared" si="101"/>
        <v/>
      </c>
      <c r="Z387" s="112">
        <f t="shared" ref="Z387:Z450" si="107">IF(X387=1,IF($I387&gt;$J387,1,0),IF(Y387=1,IF($I387&lt;$J387,1,0),""))</f>
        <v>1</v>
      </c>
      <c r="AA387" s="112">
        <f t="shared" ref="AA387:AA450" si="108">IF(X387=1,IF($I387=$J387,1,0),IF(Y387=1,IF($I387=$J387,1,0),""))</f>
        <v>0</v>
      </c>
      <c r="AB387" s="112">
        <f t="shared" ref="AB387:AB450" si="109">IF(X387=1,IF($I387&lt;$J387,1,0),IF(Y387=1,IF($I387&gt;$J387,1,0),""))</f>
        <v>0</v>
      </c>
      <c r="AC387" s="112">
        <f t="shared" ref="AC387:AC450" si="110">IF(SUM(X387:Y387)=1,$I387+$J387,"")</f>
        <v>1</v>
      </c>
      <c r="AD387" s="112">
        <f t="shared" ref="AD387:AD450" si="111">IF(X387=1,$I387-$J387,IF(Y387=1,-($I387-$J387),""))</f>
        <v>1</v>
      </c>
    </row>
    <row r="388" spans="1:30" x14ac:dyDescent="0.2">
      <c r="A388" s="112" t="str">
        <f>IF(SUM(Q388:R388)=1,1+MAX($A$1:A387),"")</f>
        <v/>
      </c>
      <c r="B388" s="112" t="str">
        <f>IF(SUM(X388:Y388)=1,1+MAX($B$1:B387),"")</f>
        <v/>
      </c>
      <c r="C388" s="112" t="str">
        <f>IF(SUM(Q388:R388,X388:Y388)=2,1+MAX($C$1:C387),"")</f>
        <v/>
      </c>
      <c r="D388" s="113">
        <v>33047</v>
      </c>
      <c r="E388" s="112">
        <v>1990</v>
      </c>
      <c r="F388" s="112" t="s">
        <v>2629</v>
      </c>
      <c r="H388" s="114" t="s">
        <v>2550</v>
      </c>
      <c r="I388" s="112">
        <f t="shared" si="96"/>
        <v>1</v>
      </c>
      <c r="J388" s="112">
        <f t="shared" si="97"/>
        <v>4</v>
      </c>
      <c r="K388" s="115" t="s">
        <v>2648</v>
      </c>
      <c r="L388" s="115" t="s">
        <v>2922</v>
      </c>
      <c r="M388" s="115" t="s">
        <v>2937</v>
      </c>
      <c r="N388" s="115">
        <v>47673</v>
      </c>
      <c r="O388" s="112">
        <v>3</v>
      </c>
      <c r="P388" s="116" t="s">
        <v>2743</v>
      </c>
      <c r="Q388" s="112" t="str">
        <f t="shared" si="98"/>
        <v/>
      </c>
      <c r="R388" s="112" t="str">
        <f t="shared" si="99"/>
        <v/>
      </c>
      <c r="S388" s="112" t="str">
        <f t="shared" si="102"/>
        <v/>
      </c>
      <c r="T388" s="112" t="str">
        <f t="shared" si="103"/>
        <v/>
      </c>
      <c r="U388" s="112" t="str">
        <f t="shared" si="104"/>
        <v/>
      </c>
      <c r="V388" s="112" t="str">
        <f t="shared" si="105"/>
        <v/>
      </c>
      <c r="W388" s="112" t="str">
        <f t="shared" si="106"/>
        <v/>
      </c>
      <c r="X388" s="112" t="str">
        <f t="shared" si="100"/>
        <v/>
      </c>
      <c r="Y388" s="112" t="str">
        <f t="shared" si="101"/>
        <v/>
      </c>
      <c r="Z388" s="112" t="str">
        <f t="shared" si="107"/>
        <v/>
      </c>
      <c r="AA388" s="112" t="str">
        <f t="shared" si="108"/>
        <v/>
      </c>
      <c r="AB388" s="112" t="str">
        <f t="shared" si="109"/>
        <v/>
      </c>
      <c r="AC388" s="112" t="str">
        <f t="shared" si="110"/>
        <v/>
      </c>
      <c r="AD388" s="112" t="str">
        <f t="shared" si="111"/>
        <v/>
      </c>
    </row>
    <row r="389" spans="1:30" x14ac:dyDescent="0.2">
      <c r="A389" s="112" t="str">
        <f>IF(SUM(Q389:R389)=1,1+MAX($A$1:A388),"")</f>
        <v/>
      </c>
      <c r="B389" s="112" t="str">
        <f>IF(SUM(X389:Y389)=1,1+MAX($B$1:B388),"")</f>
        <v/>
      </c>
      <c r="C389" s="112" t="str">
        <f>IF(SUM(Q389:R389,X389:Y389)=2,1+MAX($C$1:C388),"")</f>
        <v/>
      </c>
      <c r="D389" s="113">
        <v>33047</v>
      </c>
      <c r="E389" s="112">
        <v>1990</v>
      </c>
      <c r="F389" s="112" t="s">
        <v>2629</v>
      </c>
      <c r="H389" s="114" t="s">
        <v>2693</v>
      </c>
      <c r="I389" s="112">
        <f t="shared" si="96"/>
        <v>2</v>
      </c>
      <c r="J389" s="112">
        <f t="shared" si="97"/>
        <v>1</v>
      </c>
      <c r="K389" s="115" t="s">
        <v>1347</v>
      </c>
      <c r="L389" s="115" t="s">
        <v>2925</v>
      </c>
      <c r="M389" s="115" t="s">
        <v>2938</v>
      </c>
      <c r="N389" s="115">
        <v>50026</v>
      </c>
      <c r="O389" s="112">
        <v>2</v>
      </c>
      <c r="P389" s="116" t="s">
        <v>2626</v>
      </c>
      <c r="Q389" s="112" t="str">
        <f t="shared" si="98"/>
        <v/>
      </c>
      <c r="R389" s="112" t="str">
        <f t="shared" si="99"/>
        <v/>
      </c>
      <c r="S389" s="112" t="str">
        <f t="shared" si="102"/>
        <v/>
      </c>
      <c r="T389" s="112" t="str">
        <f t="shared" si="103"/>
        <v/>
      </c>
      <c r="U389" s="112" t="str">
        <f t="shared" si="104"/>
        <v/>
      </c>
      <c r="V389" s="112" t="str">
        <f t="shared" si="105"/>
        <v/>
      </c>
      <c r="W389" s="112" t="str">
        <f t="shared" si="106"/>
        <v/>
      </c>
      <c r="X389" s="112" t="str">
        <f t="shared" si="100"/>
        <v/>
      </c>
      <c r="Y389" s="112" t="str">
        <f t="shared" si="101"/>
        <v/>
      </c>
      <c r="Z389" s="112" t="str">
        <f t="shared" si="107"/>
        <v/>
      </c>
      <c r="AA389" s="112" t="str">
        <f t="shared" si="108"/>
        <v/>
      </c>
      <c r="AB389" s="112" t="str">
        <f t="shared" si="109"/>
        <v/>
      </c>
      <c r="AC389" s="112" t="str">
        <f t="shared" si="110"/>
        <v/>
      </c>
      <c r="AD389" s="112" t="str">
        <f t="shared" si="111"/>
        <v/>
      </c>
    </row>
    <row r="390" spans="1:30" x14ac:dyDescent="0.2">
      <c r="A390" s="112" t="str">
        <f>IF(SUM(Q390:R390)=1,1+MAX($A$1:A389),"")</f>
        <v/>
      </c>
      <c r="B390" s="112" t="str">
        <f>IF(SUM(X390:Y390)=1,1+MAX($B$1:B389),"")</f>
        <v/>
      </c>
      <c r="C390" s="112" t="str">
        <f>IF(SUM(Q390:R390,X390:Y390)=2,1+MAX($C$1:C389),"")</f>
        <v/>
      </c>
      <c r="D390" s="113">
        <v>33045</v>
      </c>
      <c r="E390" s="112">
        <v>1990</v>
      </c>
      <c r="F390" s="112" t="s">
        <v>2661</v>
      </c>
      <c r="G390" s="112" t="s">
        <v>2662</v>
      </c>
      <c r="H390" s="114" t="s">
        <v>2676</v>
      </c>
      <c r="I390" s="112">
        <f t="shared" si="96"/>
        <v>1</v>
      </c>
      <c r="J390" s="112">
        <f t="shared" si="97"/>
        <v>1</v>
      </c>
      <c r="K390" s="115" t="s">
        <v>2604</v>
      </c>
      <c r="L390" s="115" t="s">
        <v>2939</v>
      </c>
      <c r="M390" s="115" t="s">
        <v>2926</v>
      </c>
      <c r="N390" s="115">
        <v>33288</v>
      </c>
      <c r="O390" s="112">
        <v>2</v>
      </c>
      <c r="P390" s="116" t="s">
        <v>2645</v>
      </c>
      <c r="Q390" s="112" t="str">
        <f t="shared" si="98"/>
        <v/>
      </c>
      <c r="R390" s="112" t="str">
        <f t="shared" si="99"/>
        <v/>
      </c>
      <c r="S390" s="112" t="str">
        <f t="shared" si="102"/>
        <v/>
      </c>
      <c r="T390" s="112" t="str">
        <f t="shared" si="103"/>
        <v/>
      </c>
      <c r="U390" s="112" t="str">
        <f t="shared" si="104"/>
        <v/>
      </c>
      <c r="V390" s="112" t="str">
        <f t="shared" si="105"/>
        <v/>
      </c>
      <c r="W390" s="112" t="str">
        <f t="shared" si="106"/>
        <v/>
      </c>
      <c r="X390" s="112" t="str">
        <f t="shared" si="100"/>
        <v/>
      </c>
      <c r="Y390" s="112" t="str">
        <f t="shared" si="101"/>
        <v/>
      </c>
      <c r="Z390" s="112" t="str">
        <f t="shared" si="107"/>
        <v/>
      </c>
      <c r="AA390" s="112" t="str">
        <f t="shared" si="108"/>
        <v/>
      </c>
      <c r="AB390" s="112" t="str">
        <f t="shared" si="109"/>
        <v/>
      </c>
      <c r="AC390" s="112" t="str">
        <f t="shared" si="110"/>
        <v/>
      </c>
      <c r="AD390" s="112" t="str">
        <f t="shared" si="111"/>
        <v/>
      </c>
    </row>
    <row r="391" spans="1:30" x14ac:dyDescent="0.2">
      <c r="A391" s="112">
        <f>IF(SUM(Q391:R391)=1,1+MAX($A$1:A390),"")</f>
        <v>26</v>
      </c>
      <c r="B391" s="112" t="str">
        <f>IF(SUM(X391:Y391)=1,1+MAX($B$1:B390),"")</f>
        <v/>
      </c>
      <c r="C391" s="112" t="str">
        <f>IF(SUM(Q391:R391,X391:Y391)=2,1+MAX($C$1:C390),"")</f>
        <v/>
      </c>
      <c r="D391" s="113">
        <v>33045</v>
      </c>
      <c r="E391" s="112">
        <v>1990</v>
      </c>
      <c r="F391" s="112" t="s">
        <v>2661</v>
      </c>
      <c r="G391" s="112" t="s">
        <v>2662</v>
      </c>
      <c r="H391" s="114" t="s">
        <v>2552</v>
      </c>
      <c r="I391" s="112">
        <f t="shared" si="96"/>
        <v>0</v>
      </c>
      <c r="J391" s="112">
        <f t="shared" si="97"/>
        <v>1</v>
      </c>
      <c r="K391" s="115" t="s">
        <v>2545</v>
      </c>
      <c r="L391" s="115" t="s">
        <v>2940</v>
      </c>
      <c r="M391" s="115" t="s">
        <v>2908</v>
      </c>
      <c r="N391" s="115">
        <v>34959</v>
      </c>
      <c r="O391" s="112">
        <v>2</v>
      </c>
      <c r="P391" s="116" t="s">
        <v>2601</v>
      </c>
      <c r="Q391" s="112" t="str">
        <f t="shared" si="98"/>
        <v/>
      </c>
      <c r="R391" s="112">
        <f t="shared" si="99"/>
        <v>1</v>
      </c>
      <c r="S391" s="112">
        <f t="shared" si="102"/>
        <v>1</v>
      </c>
      <c r="T391" s="112">
        <f t="shared" si="103"/>
        <v>0</v>
      </c>
      <c r="U391" s="112">
        <f t="shared" si="104"/>
        <v>0</v>
      </c>
      <c r="V391" s="112">
        <f t="shared" si="105"/>
        <v>1</v>
      </c>
      <c r="W391" s="112">
        <f t="shared" si="106"/>
        <v>1</v>
      </c>
      <c r="X391" s="112" t="str">
        <f t="shared" si="100"/>
        <v/>
      </c>
      <c r="Y391" s="112" t="str">
        <f t="shared" si="101"/>
        <v/>
      </c>
      <c r="Z391" s="112" t="str">
        <f t="shared" si="107"/>
        <v/>
      </c>
      <c r="AA391" s="112" t="str">
        <f t="shared" si="108"/>
        <v/>
      </c>
      <c r="AB391" s="112" t="str">
        <f t="shared" si="109"/>
        <v/>
      </c>
      <c r="AC391" s="112" t="str">
        <f t="shared" si="110"/>
        <v/>
      </c>
      <c r="AD391" s="112" t="str">
        <f t="shared" si="111"/>
        <v/>
      </c>
    </row>
    <row r="392" spans="1:30" x14ac:dyDescent="0.2">
      <c r="A392" s="112" t="str">
        <f>IF(SUM(Q392:R392)=1,1+MAX($A$1:A391),"")</f>
        <v/>
      </c>
      <c r="B392" s="112" t="str">
        <f>IF(SUM(X392:Y392)=1,1+MAX($B$1:B391),"")</f>
        <v/>
      </c>
      <c r="C392" s="112" t="str">
        <f>IF(SUM(Q392:R392,X392:Y392)=2,1+MAX($C$1:C391),"")</f>
        <v/>
      </c>
      <c r="D392" s="113">
        <v>33045</v>
      </c>
      <c r="E392" s="112">
        <v>1990</v>
      </c>
      <c r="F392" s="112" t="s">
        <v>2666</v>
      </c>
      <c r="G392" s="112" t="s">
        <v>2667</v>
      </c>
      <c r="H392" s="114" t="s">
        <v>2543</v>
      </c>
      <c r="I392" s="112">
        <f t="shared" si="96"/>
        <v>0</v>
      </c>
      <c r="J392" s="112">
        <f t="shared" si="97"/>
        <v>1</v>
      </c>
      <c r="K392" s="115" t="s">
        <v>2540</v>
      </c>
      <c r="L392" s="115" t="s">
        <v>2941</v>
      </c>
      <c r="M392" s="115" t="s">
        <v>2942</v>
      </c>
      <c r="N392" s="115">
        <v>29039</v>
      </c>
      <c r="O392" s="112">
        <v>3</v>
      </c>
      <c r="P392" s="116" t="s">
        <v>2601</v>
      </c>
      <c r="Q392" s="112" t="str">
        <f t="shared" si="98"/>
        <v/>
      </c>
      <c r="R392" s="112" t="str">
        <f t="shared" si="99"/>
        <v/>
      </c>
      <c r="S392" s="112" t="str">
        <f t="shared" si="102"/>
        <v/>
      </c>
      <c r="T392" s="112" t="str">
        <f t="shared" si="103"/>
        <v/>
      </c>
      <c r="U392" s="112" t="str">
        <f t="shared" si="104"/>
        <v/>
      </c>
      <c r="V392" s="112" t="str">
        <f t="shared" si="105"/>
        <v/>
      </c>
      <c r="W392" s="112" t="str">
        <f t="shared" si="106"/>
        <v/>
      </c>
      <c r="X392" s="112" t="str">
        <f t="shared" si="100"/>
        <v/>
      </c>
      <c r="Y392" s="112" t="str">
        <f t="shared" si="101"/>
        <v/>
      </c>
      <c r="Z392" s="112" t="str">
        <f t="shared" si="107"/>
        <v/>
      </c>
      <c r="AA392" s="112" t="str">
        <f t="shared" si="108"/>
        <v/>
      </c>
      <c r="AB392" s="112" t="str">
        <f t="shared" si="109"/>
        <v/>
      </c>
      <c r="AC392" s="112" t="str">
        <f t="shared" si="110"/>
        <v/>
      </c>
      <c r="AD392" s="112" t="str">
        <f t="shared" si="111"/>
        <v/>
      </c>
    </row>
    <row r="393" spans="1:30" x14ac:dyDescent="0.2">
      <c r="A393" s="112" t="str">
        <f>IF(SUM(Q393:R393)=1,1+MAX($A$1:A392),"")</f>
        <v/>
      </c>
      <c r="B393" s="112" t="str">
        <f>IF(SUM(X393:Y393)=1,1+MAX($B$1:B392),"")</f>
        <v/>
      </c>
      <c r="C393" s="112" t="str">
        <f>IF(SUM(Q393:R393,X393:Y393)=2,1+MAX($C$1:C392),"")</f>
        <v/>
      </c>
      <c r="D393" s="113">
        <v>33045</v>
      </c>
      <c r="E393" s="112">
        <v>1990</v>
      </c>
      <c r="F393" s="112" t="s">
        <v>2666</v>
      </c>
      <c r="G393" s="112" t="s">
        <v>2667</v>
      </c>
      <c r="H393" s="114" t="s">
        <v>2554</v>
      </c>
      <c r="I393" s="112">
        <f t="shared" si="96"/>
        <v>1</v>
      </c>
      <c r="J393" s="112">
        <f t="shared" si="97"/>
        <v>2</v>
      </c>
      <c r="K393" s="115" t="s">
        <v>2557</v>
      </c>
      <c r="L393" s="115" t="s">
        <v>2932</v>
      </c>
      <c r="M393" s="115" t="s">
        <v>2936</v>
      </c>
      <c r="N393" s="115">
        <v>35950</v>
      </c>
      <c r="O393" s="112">
        <v>2</v>
      </c>
      <c r="P393" s="116" t="s">
        <v>2638</v>
      </c>
      <c r="Q393" s="112" t="str">
        <f t="shared" si="98"/>
        <v/>
      </c>
      <c r="R393" s="112" t="str">
        <f t="shared" si="99"/>
        <v/>
      </c>
      <c r="S393" s="112" t="str">
        <f t="shared" si="102"/>
        <v/>
      </c>
      <c r="T393" s="112" t="str">
        <f t="shared" si="103"/>
        <v/>
      </c>
      <c r="U393" s="112" t="str">
        <f t="shared" si="104"/>
        <v/>
      </c>
      <c r="V393" s="112" t="str">
        <f t="shared" si="105"/>
        <v/>
      </c>
      <c r="W393" s="112" t="str">
        <f t="shared" si="106"/>
        <v/>
      </c>
      <c r="X393" s="112" t="str">
        <f t="shared" si="100"/>
        <v/>
      </c>
      <c r="Y393" s="112" t="str">
        <f t="shared" si="101"/>
        <v/>
      </c>
      <c r="Z393" s="112" t="str">
        <f t="shared" si="107"/>
        <v/>
      </c>
      <c r="AA393" s="112" t="str">
        <f t="shared" si="108"/>
        <v/>
      </c>
      <c r="AB393" s="112" t="str">
        <f t="shared" si="109"/>
        <v/>
      </c>
      <c r="AC393" s="112" t="str">
        <f t="shared" si="110"/>
        <v/>
      </c>
      <c r="AD393" s="112" t="str">
        <f t="shared" si="111"/>
        <v/>
      </c>
    </row>
    <row r="394" spans="1:30" x14ac:dyDescent="0.2">
      <c r="A394" s="112" t="str">
        <f>IF(SUM(Q394:R394)=1,1+MAX($A$1:A393),"")</f>
        <v/>
      </c>
      <c r="B394" s="112" t="str">
        <f>IF(SUM(X394:Y394)=1,1+MAX($B$1:B393),"")</f>
        <v/>
      </c>
      <c r="C394" s="112" t="str">
        <f>IF(SUM(Q394:R394,X394:Y394)=2,1+MAX($C$1:C393),"")</f>
        <v/>
      </c>
      <c r="D394" s="113">
        <v>33044</v>
      </c>
      <c r="E394" s="112">
        <v>1990</v>
      </c>
      <c r="F394" s="112" t="s">
        <v>2677</v>
      </c>
      <c r="G394" s="112" t="s">
        <v>2678</v>
      </c>
      <c r="H394" s="114" t="s">
        <v>2550</v>
      </c>
      <c r="I394" s="112">
        <f t="shared" si="96"/>
        <v>2</v>
      </c>
      <c r="J394" s="112">
        <f t="shared" si="97"/>
        <v>1</v>
      </c>
      <c r="K394" s="115" t="s">
        <v>2549</v>
      </c>
      <c r="L394" s="115" t="s">
        <v>2935</v>
      </c>
      <c r="M394" s="115" t="s">
        <v>2943</v>
      </c>
      <c r="N394" s="115">
        <v>30223</v>
      </c>
      <c r="O394" s="112">
        <v>3</v>
      </c>
      <c r="P394" s="116" t="s">
        <v>2626</v>
      </c>
      <c r="Q394" s="112" t="str">
        <f t="shared" si="98"/>
        <v/>
      </c>
      <c r="R394" s="112" t="str">
        <f t="shared" si="99"/>
        <v/>
      </c>
      <c r="S394" s="112" t="str">
        <f t="shared" si="102"/>
        <v/>
      </c>
      <c r="T394" s="112" t="str">
        <f t="shared" si="103"/>
        <v/>
      </c>
      <c r="U394" s="112" t="str">
        <f t="shared" si="104"/>
        <v/>
      </c>
      <c r="V394" s="112" t="str">
        <f t="shared" si="105"/>
        <v/>
      </c>
      <c r="W394" s="112" t="str">
        <f t="shared" si="106"/>
        <v/>
      </c>
      <c r="X394" s="112" t="str">
        <f t="shared" si="100"/>
        <v/>
      </c>
      <c r="Y394" s="112" t="str">
        <f t="shared" si="101"/>
        <v/>
      </c>
      <c r="Z394" s="112" t="str">
        <f t="shared" si="107"/>
        <v/>
      </c>
      <c r="AA394" s="112" t="str">
        <f t="shared" si="108"/>
        <v/>
      </c>
      <c r="AB394" s="112" t="str">
        <f t="shared" si="109"/>
        <v/>
      </c>
      <c r="AC394" s="112" t="str">
        <f t="shared" si="110"/>
        <v/>
      </c>
      <c r="AD394" s="112" t="str">
        <f t="shared" si="111"/>
        <v/>
      </c>
    </row>
    <row r="395" spans="1:30" x14ac:dyDescent="0.2">
      <c r="A395" s="112" t="str">
        <f>IF(SUM(Q395:R395)=1,1+MAX($A$1:A394),"")</f>
        <v/>
      </c>
      <c r="B395" s="112" t="str">
        <f>IF(SUM(X395:Y395)=1,1+MAX($B$1:B394),"")</f>
        <v/>
      </c>
      <c r="C395" s="112" t="str">
        <f>IF(SUM(Q395:R395,X395:Y395)=2,1+MAX($C$1:C394),"")</f>
        <v/>
      </c>
      <c r="D395" s="113">
        <v>33044</v>
      </c>
      <c r="E395" s="112">
        <v>1990</v>
      </c>
      <c r="F395" s="112" t="s">
        <v>2677</v>
      </c>
      <c r="G395" s="112" t="s">
        <v>2678</v>
      </c>
      <c r="H395" s="114" t="s">
        <v>1442</v>
      </c>
      <c r="I395" s="112">
        <f t="shared" si="96"/>
        <v>1</v>
      </c>
      <c r="J395" s="112">
        <f t="shared" si="97"/>
        <v>0</v>
      </c>
      <c r="K395" s="115" t="s">
        <v>2717</v>
      </c>
      <c r="L395" s="115" t="s">
        <v>2923</v>
      </c>
      <c r="M395" s="115" t="s">
        <v>2928</v>
      </c>
      <c r="N395" s="115">
        <v>62502</v>
      </c>
      <c r="O395" s="112">
        <v>2</v>
      </c>
      <c r="P395" s="116" t="s">
        <v>2622</v>
      </c>
      <c r="Q395" s="112" t="str">
        <f t="shared" si="98"/>
        <v/>
      </c>
      <c r="R395" s="112" t="str">
        <f t="shared" si="99"/>
        <v/>
      </c>
      <c r="S395" s="112" t="str">
        <f t="shared" si="102"/>
        <v/>
      </c>
      <c r="T395" s="112" t="str">
        <f t="shared" si="103"/>
        <v/>
      </c>
      <c r="U395" s="112" t="str">
        <f t="shared" si="104"/>
        <v/>
      </c>
      <c r="V395" s="112" t="str">
        <f t="shared" si="105"/>
        <v/>
      </c>
      <c r="W395" s="112" t="str">
        <f t="shared" si="106"/>
        <v/>
      </c>
      <c r="X395" s="112" t="str">
        <f t="shared" si="100"/>
        <v/>
      </c>
      <c r="Y395" s="112" t="str">
        <f t="shared" si="101"/>
        <v/>
      </c>
      <c r="Z395" s="112" t="str">
        <f t="shared" si="107"/>
        <v/>
      </c>
      <c r="AA395" s="112" t="str">
        <f t="shared" si="108"/>
        <v/>
      </c>
      <c r="AB395" s="112" t="str">
        <f t="shared" si="109"/>
        <v/>
      </c>
      <c r="AC395" s="112" t="str">
        <f t="shared" si="110"/>
        <v/>
      </c>
      <c r="AD395" s="112" t="str">
        <f t="shared" si="111"/>
        <v/>
      </c>
    </row>
    <row r="396" spans="1:30" x14ac:dyDescent="0.2">
      <c r="A396" s="112" t="str">
        <f>IF(SUM(Q396:R396)=1,1+MAX($A$1:A395),"")</f>
        <v/>
      </c>
      <c r="B396" s="112" t="str">
        <f>IF(SUM(X396:Y396)=1,1+MAX($B$1:B395),"")</f>
        <v/>
      </c>
      <c r="C396" s="112" t="str">
        <f>IF(SUM(Q396:R396,X396:Y396)=2,1+MAX($C$1:C395),"")</f>
        <v/>
      </c>
      <c r="D396" s="113">
        <v>33043</v>
      </c>
      <c r="E396" s="112">
        <v>1990</v>
      </c>
      <c r="F396" s="112" t="s">
        <v>2672</v>
      </c>
      <c r="G396" s="112" t="s">
        <v>2673</v>
      </c>
      <c r="H396" s="114" t="s">
        <v>2627</v>
      </c>
      <c r="I396" s="112">
        <f t="shared" si="96"/>
        <v>1</v>
      </c>
      <c r="J396" s="112">
        <f t="shared" si="97"/>
        <v>4</v>
      </c>
      <c r="K396" s="115" t="s">
        <v>2862</v>
      </c>
      <c r="L396" s="115" t="s">
        <v>2931</v>
      </c>
      <c r="M396" s="115" t="s">
        <v>2944</v>
      </c>
      <c r="N396" s="115">
        <v>27833</v>
      </c>
      <c r="O396" s="112">
        <v>2</v>
      </c>
      <c r="P396" s="116" t="s">
        <v>2743</v>
      </c>
      <c r="Q396" s="112" t="str">
        <f t="shared" si="98"/>
        <v/>
      </c>
      <c r="R396" s="112" t="str">
        <f t="shared" si="99"/>
        <v/>
      </c>
      <c r="S396" s="112" t="str">
        <f t="shared" si="102"/>
        <v/>
      </c>
      <c r="T396" s="112" t="str">
        <f t="shared" si="103"/>
        <v/>
      </c>
      <c r="U396" s="112" t="str">
        <f t="shared" si="104"/>
        <v/>
      </c>
      <c r="V396" s="112" t="str">
        <f t="shared" si="105"/>
        <v/>
      </c>
      <c r="W396" s="112" t="str">
        <f t="shared" si="106"/>
        <v/>
      </c>
      <c r="X396" s="112" t="str">
        <f t="shared" si="100"/>
        <v/>
      </c>
      <c r="Y396" s="112" t="str">
        <f t="shared" si="101"/>
        <v/>
      </c>
      <c r="Z396" s="112" t="str">
        <f t="shared" si="107"/>
        <v/>
      </c>
      <c r="AA396" s="112" t="str">
        <f t="shared" si="108"/>
        <v/>
      </c>
      <c r="AB396" s="112" t="str">
        <f t="shared" si="109"/>
        <v/>
      </c>
      <c r="AC396" s="112" t="str">
        <f t="shared" si="110"/>
        <v/>
      </c>
      <c r="AD396" s="112" t="str">
        <f t="shared" si="111"/>
        <v/>
      </c>
    </row>
    <row r="397" spans="1:30" x14ac:dyDescent="0.2">
      <c r="A397" s="112" t="str">
        <f>IF(SUM(Q397:R397)=1,1+MAX($A$1:A396),"")</f>
        <v/>
      </c>
      <c r="B397" s="112" t="str">
        <f>IF(SUM(X397:Y397)=1,1+MAX($B$1:B396),"")</f>
        <v/>
      </c>
      <c r="C397" s="112" t="str">
        <f>IF(SUM(Q397:R397,X397:Y397)=2,1+MAX($C$1:C396),"")</f>
        <v/>
      </c>
      <c r="D397" s="113">
        <v>33043</v>
      </c>
      <c r="E397" s="112">
        <v>1990</v>
      </c>
      <c r="F397" s="112" t="s">
        <v>2672</v>
      </c>
      <c r="G397" s="112" t="s">
        <v>2673</v>
      </c>
      <c r="H397" s="114" t="s">
        <v>1347</v>
      </c>
      <c r="I397" s="112">
        <f t="shared" si="96"/>
        <v>1</v>
      </c>
      <c r="J397" s="112">
        <f t="shared" si="97"/>
        <v>1</v>
      </c>
      <c r="K397" s="115" t="s">
        <v>2547</v>
      </c>
      <c r="L397" s="115" t="s">
        <v>2927</v>
      </c>
      <c r="M397" s="115" t="s">
        <v>2945</v>
      </c>
      <c r="N397" s="115">
        <v>72510</v>
      </c>
      <c r="O397" s="112">
        <v>2</v>
      </c>
      <c r="P397" s="116" t="s">
        <v>2645</v>
      </c>
      <c r="Q397" s="112" t="str">
        <f t="shared" si="98"/>
        <v/>
      </c>
      <c r="R397" s="112" t="str">
        <f t="shared" si="99"/>
        <v/>
      </c>
      <c r="S397" s="112" t="str">
        <f t="shared" si="102"/>
        <v/>
      </c>
      <c r="T397" s="112" t="str">
        <f t="shared" si="103"/>
        <v/>
      </c>
      <c r="U397" s="112" t="str">
        <f t="shared" si="104"/>
        <v/>
      </c>
      <c r="V397" s="112" t="str">
        <f t="shared" si="105"/>
        <v/>
      </c>
      <c r="W397" s="112" t="str">
        <f t="shared" si="106"/>
        <v/>
      </c>
      <c r="X397" s="112" t="str">
        <f t="shared" si="100"/>
        <v/>
      </c>
      <c r="Y397" s="112" t="str">
        <f t="shared" si="101"/>
        <v/>
      </c>
      <c r="Z397" s="112" t="str">
        <f t="shared" si="107"/>
        <v/>
      </c>
      <c r="AA397" s="112" t="str">
        <f t="shared" si="108"/>
        <v/>
      </c>
      <c r="AB397" s="112" t="str">
        <f t="shared" si="109"/>
        <v/>
      </c>
      <c r="AC397" s="112" t="str">
        <f t="shared" si="110"/>
        <v/>
      </c>
      <c r="AD397" s="112" t="str">
        <f t="shared" si="111"/>
        <v/>
      </c>
    </row>
    <row r="398" spans="1:30" x14ac:dyDescent="0.2">
      <c r="A398" s="112" t="str">
        <f>IF(SUM(Q398:R398)=1,1+MAX($A$1:A397),"")</f>
        <v/>
      </c>
      <c r="B398" s="112" t="str">
        <f>IF(SUM(X398:Y398)=1,1+MAX($B$1:B397),"")</f>
        <v/>
      </c>
      <c r="C398" s="112" t="str">
        <f>IF(SUM(Q398:R398,X398:Y398)=2,1+MAX($C$1:C397),"")</f>
        <v/>
      </c>
      <c r="D398" s="113">
        <v>33043</v>
      </c>
      <c r="E398" s="112">
        <v>1990</v>
      </c>
      <c r="F398" s="112" t="s">
        <v>2689</v>
      </c>
      <c r="G398" s="112" t="s">
        <v>2690</v>
      </c>
      <c r="H398" s="114" t="s">
        <v>2623</v>
      </c>
      <c r="I398" s="112">
        <f t="shared" si="96"/>
        <v>2</v>
      </c>
      <c r="J398" s="112">
        <f t="shared" si="97"/>
        <v>1</v>
      </c>
      <c r="K398" s="115" t="s">
        <v>2614</v>
      </c>
      <c r="L398" s="115" t="s">
        <v>2930</v>
      </c>
      <c r="M398" s="115" t="s">
        <v>2901</v>
      </c>
      <c r="N398" s="115">
        <v>34857</v>
      </c>
      <c r="O398" s="112">
        <v>2</v>
      </c>
      <c r="P398" s="116" t="s">
        <v>2626</v>
      </c>
      <c r="Q398" s="112" t="str">
        <f t="shared" si="98"/>
        <v/>
      </c>
      <c r="R398" s="112" t="str">
        <f t="shared" si="99"/>
        <v/>
      </c>
      <c r="S398" s="112" t="str">
        <f t="shared" si="102"/>
        <v/>
      </c>
      <c r="T398" s="112" t="str">
        <f t="shared" si="103"/>
        <v/>
      </c>
      <c r="U398" s="112" t="str">
        <f t="shared" si="104"/>
        <v/>
      </c>
      <c r="V398" s="112" t="str">
        <f t="shared" si="105"/>
        <v/>
      </c>
      <c r="W398" s="112" t="str">
        <f t="shared" si="106"/>
        <v/>
      </c>
      <c r="X398" s="112" t="str">
        <f t="shared" si="100"/>
        <v/>
      </c>
      <c r="Y398" s="112" t="str">
        <f t="shared" si="101"/>
        <v/>
      </c>
      <c r="Z398" s="112" t="str">
        <f t="shared" si="107"/>
        <v/>
      </c>
      <c r="AA398" s="112" t="str">
        <f t="shared" si="108"/>
        <v/>
      </c>
      <c r="AB398" s="112" t="str">
        <f t="shared" si="109"/>
        <v/>
      </c>
      <c r="AC398" s="112" t="str">
        <f t="shared" si="110"/>
        <v/>
      </c>
      <c r="AD398" s="112" t="str">
        <f t="shared" si="111"/>
        <v/>
      </c>
    </row>
    <row r="399" spans="1:30" x14ac:dyDescent="0.2">
      <c r="A399" s="112" t="str">
        <f>IF(SUM(Q399:R399)=1,1+MAX($A$1:A398),"")</f>
        <v/>
      </c>
      <c r="B399" s="112" t="str">
        <f>IF(SUM(X399:Y399)=1,1+MAX($B$1:B398),"")</f>
        <v/>
      </c>
      <c r="C399" s="112" t="str">
        <f>IF(SUM(Q399:R399,X399:Y399)=2,1+MAX($C$1:C398),"")</f>
        <v/>
      </c>
      <c r="D399" s="113">
        <v>33043</v>
      </c>
      <c r="E399" s="112">
        <v>1990</v>
      </c>
      <c r="F399" s="112" t="s">
        <v>2689</v>
      </c>
      <c r="G399" s="112" t="s">
        <v>2690</v>
      </c>
      <c r="H399" s="114" t="s">
        <v>2648</v>
      </c>
      <c r="I399" s="112">
        <f t="shared" si="96"/>
        <v>0</v>
      </c>
      <c r="J399" s="112">
        <f t="shared" si="97"/>
        <v>2</v>
      </c>
      <c r="K399" s="115" t="s">
        <v>2674</v>
      </c>
      <c r="L399" s="115" t="s">
        <v>2920</v>
      </c>
      <c r="M399" s="115" t="s">
        <v>2895</v>
      </c>
      <c r="N399" s="115">
        <v>73303</v>
      </c>
      <c r="O399" s="112">
        <v>2</v>
      </c>
      <c r="P399" s="116" t="s">
        <v>2687</v>
      </c>
      <c r="Q399" s="112" t="str">
        <f t="shared" si="98"/>
        <v/>
      </c>
      <c r="R399" s="112" t="str">
        <f t="shared" si="99"/>
        <v/>
      </c>
      <c r="S399" s="112" t="str">
        <f t="shared" si="102"/>
        <v/>
      </c>
      <c r="T399" s="112" t="str">
        <f t="shared" si="103"/>
        <v/>
      </c>
      <c r="U399" s="112" t="str">
        <f t="shared" si="104"/>
        <v/>
      </c>
      <c r="V399" s="112" t="str">
        <f t="shared" si="105"/>
        <v/>
      </c>
      <c r="W399" s="112" t="str">
        <f t="shared" si="106"/>
        <v/>
      </c>
      <c r="X399" s="112" t="str">
        <f t="shared" si="100"/>
        <v/>
      </c>
      <c r="Y399" s="112" t="str">
        <f t="shared" si="101"/>
        <v/>
      </c>
      <c r="Z399" s="112" t="str">
        <f t="shared" si="107"/>
        <v/>
      </c>
      <c r="AA399" s="112" t="str">
        <f t="shared" si="108"/>
        <v/>
      </c>
      <c r="AB399" s="112" t="str">
        <f t="shared" si="109"/>
        <v/>
      </c>
      <c r="AC399" s="112" t="str">
        <f t="shared" si="110"/>
        <v/>
      </c>
      <c r="AD399" s="112" t="str">
        <f t="shared" si="111"/>
        <v/>
      </c>
    </row>
    <row r="400" spans="1:30" x14ac:dyDescent="0.2">
      <c r="A400" s="112" t="str">
        <f>IF(SUM(Q400:R400)=1,1+MAX($A$1:A399),"")</f>
        <v/>
      </c>
      <c r="B400" s="112" t="str">
        <f>IF(SUM(X400:Y400)=1,1+MAX($B$1:B399),"")</f>
        <v/>
      </c>
      <c r="C400" s="112" t="str">
        <f>IF(SUM(Q400:R400,X400:Y400)=2,1+MAX($C$1:C399),"")</f>
        <v/>
      </c>
      <c r="D400" s="113">
        <v>33042</v>
      </c>
      <c r="E400" s="112">
        <v>1990</v>
      </c>
      <c r="F400" s="112" t="s">
        <v>2684</v>
      </c>
      <c r="G400" s="112" t="s">
        <v>2685</v>
      </c>
      <c r="H400" s="114" t="s">
        <v>2693</v>
      </c>
      <c r="I400" s="112">
        <f t="shared" si="96"/>
        <v>0</v>
      </c>
      <c r="J400" s="112">
        <f t="shared" si="97"/>
        <v>4</v>
      </c>
      <c r="K400" s="115" t="s">
        <v>2720</v>
      </c>
      <c r="L400" s="115" t="s">
        <v>2922</v>
      </c>
      <c r="M400" s="115" t="s">
        <v>2924</v>
      </c>
      <c r="N400" s="115">
        <v>37307</v>
      </c>
      <c r="O400" s="112">
        <v>2</v>
      </c>
      <c r="P400" s="116" t="s">
        <v>2708</v>
      </c>
      <c r="Q400" s="112" t="str">
        <f t="shared" si="98"/>
        <v/>
      </c>
      <c r="R400" s="112" t="str">
        <f t="shared" si="99"/>
        <v/>
      </c>
      <c r="S400" s="112" t="str">
        <f t="shared" si="102"/>
        <v/>
      </c>
      <c r="T400" s="112" t="str">
        <f t="shared" si="103"/>
        <v/>
      </c>
      <c r="U400" s="112" t="str">
        <f t="shared" si="104"/>
        <v/>
      </c>
      <c r="V400" s="112" t="str">
        <f t="shared" si="105"/>
        <v/>
      </c>
      <c r="W400" s="112" t="str">
        <f t="shared" si="106"/>
        <v/>
      </c>
      <c r="X400" s="112" t="str">
        <f t="shared" si="100"/>
        <v/>
      </c>
      <c r="Y400" s="112" t="str">
        <f t="shared" si="101"/>
        <v/>
      </c>
      <c r="Z400" s="112" t="str">
        <f t="shared" si="107"/>
        <v/>
      </c>
      <c r="AA400" s="112" t="str">
        <f t="shared" si="108"/>
        <v/>
      </c>
      <c r="AB400" s="112" t="str">
        <f t="shared" si="109"/>
        <v/>
      </c>
      <c r="AC400" s="112" t="str">
        <f t="shared" si="110"/>
        <v/>
      </c>
      <c r="AD400" s="112" t="str">
        <f t="shared" si="111"/>
        <v/>
      </c>
    </row>
    <row r="401" spans="1:30" x14ac:dyDescent="0.2">
      <c r="A401" s="112" t="str">
        <f>IF(SUM(Q401:R401)=1,1+MAX($A$1:A400),"")</f>
        <v/>
      </c>
      <c r="B401" s="112">
        <f>IF(SUM(X401:Y401)=1,1+MAX($B$1:B400),"")</f>
        <v>34</v>
      </c>
      <c r="C401" s="112" t="str">
        <f>IF(SUM(Q401:R401,X401:Y401)=2,1+MAX($C$1:C400),"")</f>
        <v/>
      </c>
      <c r="D401" s="113">
        <v>33042</v>
      </c>
      <c r="E401" s="112">
        <v>1990</v>
      </c>
      <c r="F401" s="112" t="s">
        <v>2684</v>
      </c>
      <c r="G401" s="112" t="s">
        <v>2685</v>
      </c>
      <c r="H401" s="114" t="s">
        <v>1134</v>
      </c>
      <c r="I401" s="112">
        <f t="shared" si="96"/>
        <v>1</v>
      </c>
      <c r="J401" s="112">
        <f t="shared" si="97"/>
        <v>1</v>
      </c>
      <c r="K401" s="115" t="s">
        <v>2711</v>
      </c>
      <c r="L401" s="115" t="s">
        <v>2925</v>
      </c>
      <c r="M401" s="115" t="s">
        <v>2929</v>
      </c>
      <c r="N401" s="115">
        <v>52733</v>
      </c>
      <c r="O401" s="112">
        <v>2</v>
      </c>
      <c r="P401" s="116" t="s">
        <v>2645</v>
      </c>
      <c r="Q401" s="112" t="str">
        <f t="shared" si="98"/>
        <v/>
      </c>
      <c r="R401" s="112" t="str">
        <f t="shared" si="99"/>
        <v/>
      </c>
      <c r="S401" s="112" t="str">
        <f t="shared" si="102"/>
        <v/>
      </c>
      <c r="T401" s="112" t="str">
        <f t="shared" si="103"/>
        <v/>
      </c>
      <c r="U401" s="112" t="str">
        <f t="shared" si="104"/>
        <v/>
      </c>
      <c r="V401" s="112" t="str">
        <f t="shared" si="105"/>
        <v/>
      </c>
      <c r="W401" s="112" t="str">
        <f t="shared" si="106"/>
        <v/>
      </c>
      <c r="X401" s="112">
        <f t="shared" si="100"/>
        <v>1</v>
      </c>
      <c r="Y401" s="112" t="str">
        <f t="shared" si="101"/>
        <v/>
      </c>
      <c r="Z401" s="112">
        <f t="shared" si="107"/>
        <v>0</v>
      </c>
      <c r="AA401" s="112">
        <f t="shared" si="108"/>
        <v>1</v>
      </c>
      <c r="AB401" s="112">
        <f t="shared" si="109"/>
        <v>0</v>
      </c>
      <c r="AC401" s="112">
        <f t="shared" si="110"/>
        <v>2</v>
      </c>
      <c r="AD401" s="112">
        <f t="shared" si="111"/>
        <v>0</v>
      </c>
    </row>
    <row r="402" spans="1:30" x14ac:dyDescent="0.2">
      <c r="A402" s="112" t="str">
        <f>IF(SUM(Q402:R402)=1,1+MAX($A$1:A401),"")</f>
        <v/>
      </c>
      <c r="B402" s="112" t="str">
        <f>IF(SUM(X402:Y402)=1,1+MAX($B$1:B401),"")</f>
        <v/>
      </c>
      <c r="C402" s="112" t="str">
        <f>IF(SUM(Q402:R402,X402:Y402)=2,1+MAX($C$1:C401),"")</f>
        <v/>
      </c>
      <c r="D402" s="113">
        <v>33041</v>
      </c>
      <c r="E402" s="112">
        <v>1990</v>
      </c>
      <c r="F402" s="112" t="s">
        <v>2661</v>
      </c>
      <c r="G402" s="112" t="s">
        <v>2662</v>
      </c>
      <c r="H402" s="114" t="s">
        <v>2552</v>
      </c>
      <c r="I402" s="112">
        <f t="shared" si="96"/>
        <v>0</v>
      </c>
      <c r="J402" s="112">
        <f t="shared" si="97"/>
        <v>0</v>
      </c>
      <c r="K402" s="115" t="s">
        <v>2676</v>
      </c>
      <c r="L402" s="115" t="s">
        <v>2939</v>
      </c>
      <c r="M402" s="115" t="s">
        <v>2946</v>
      </c>
      <c r="N402" s="115">
        <v>33288</v>
      </c>
      <c r="O402" s="112">
        <v>2</v>
      </c>
      <c r="P402" s="116" t="s">
        <v>2613</v>
      </c>
      <c r="Q402" s="112" t="str">
        <f t="shared" si="98"/>
        <v/>
      </c>
      <c r="R402" s="112" t="str">
        <f t="shared" si="99"/>
        <v/>
      </c>
      <c r="S402" s="112" t="str">
        <f t="shared" si="102"/>
        <v/>
      </c>
      <c r="T402" s="112" t="str">
        <f t="shared" si="103"/>
        <v/>
      </c>
      <c r="U402" s="112" t="str">
        <f t="shared" si="104"/>
        <v/>
      </c>
      <c r="V402" s="112" t="str">
        <f t="shared" si="105"/>
        <v/>
      </c>
      <c r="W402" s="112" t="str">
        <f t="shared" si="106"/>
        <v/>
      </c>
      <c r="X402" s="112" t="str">
        <f t="shared" si="100"/>
        <v/>
      </c>
      <c r="Y402" s="112" t="str">
        <f t="shared" si="101"/>
        <v/>
      </c>
      <c r="Z402" s="112" t="str">
        <f t="shared" si="107"/>
        <v/>
      </c>
      <c r="AA402" s="112" t="str">
        <f t="shared" si="108"/>
        <v/>
      </c>
      <c r="AB402" s="112" t="str">
        <f t="shared" si="109"/>
        <v/>
      </c>
      <c r="AC402" s="112" t="str">
        <f t="shared" si="110"/>
        <v/>
      </c>
      <c r="AD402" s="112" t="str">
        <f t="shared" si="111"/>
        <v/>
      </c>
    </row>
    <row r="403" spans="1:30" x14ac:dyDescent="0.2">
      <c r="A403" s="112" t="str">
        <f>IF(SUM(Q403:R403)=1,1+MAX($A$1:A402),"")</f>
        <v/>
      </c>
      <c r="B403" s="112" t="str">
        <f>IF(SUM(X403:Y403)=1,1+MAX($B$1:B402),"")</f>
        <v/>
      </c>
      <c r="C403" s="112" t="str">
        <f>IF(SUM(Q403:R403,X403:Y403)=2,1+MAX($C$1:C402),"")</f>
        <v/>
      </c>
      <c r="D403" s="113">
        <v>33041</v>
      </c>
      <c r="E403" s="112">
        <v>1990</v>
      </c>
      <c r="F403" s="112" t="s">
        <v>2666</v>
      </c>
      <c r="G403" s="112" t="s">
        <v>2667</v>
      </c>
      <c r="H403" s="114" t="s">
        <v>2543</v>
      </c>
      <c r="I403" s="112">
        <f t="shared" si="96"/>
        <v>1</v>
      </c>
      <c r="J403" s="112">
        <f t="shared" si="97"/>
        <v>3</v>
      </c>
      <c r="K403" s="115" t="s">
        <v>2557</v>
      </c>
      <c r="L403" s="115" t="s">
        <v>2941</v>
      </c>
      <c r="M403" s="115" t="s">
        <v>2947</v>
      </c>
      <c r="N403" s="115">
        <v>32733</v>
      </c>
      <c r="O403" s="112">
        <v>2</v>
      </c>
      <c r="P403" s="116" t="s">
        <v>2691</v>
      </c>
      <c r="Q403" s="112" t="str">
        <f t="shared" si="98"/>
        <v/>
      </c>
      <c r="R403" s="112" t="str">
        <f t="shared" si="99"/>
        <v/>
      </c>
      <c r="S403" s="112" t="str">
        <f t="shared" si="102"/>
        <v/>
      </c>
      <c r="T403" s="112" t="str">
        <f t="shared" si="103"/>
        <v/>
      </c>
      <c r="U403" s="112" t="str">
        <f t="shared" si="104"/>
        <v/>
      </c>
      <c r="V403" s="112" t="str">
        <f t="shared" si="105"/>
        <v/>
      </c>
      <c r="W403" s="112" t="str">
        <f t="shared" si="106"/>
        <v/>
      </c>
      <c r="X403" s="112" t="str">
        <f t="shared" si="100"/>
        <v/>
      </c>
      <c r="Y403" s="112" t="str">
        <f t="shared" si="101"/>
        <v/>
      </c>
      <c r="Z403" s="112" t="str">
        <f t="shared" si="107"/>
        <v/>
      </c>
      <c r="AA403" s="112" t="str">
        <f t="shared" si="108"/>
        <v/>
      </c>
      <c r="AB403" s="112" t="str">
        <f t="shared" si="109"/>
        <v/>
      </c>
      <c r="AC403" s="112" t="str">
        <f t="shared" si="110"/>
        <v/>
      </c>
      <c r="AD403" s="112" t="str">
        <f t="shared" si="111"/>
        <v/>
      </c>
    </row>
    <row r="404" spans="1:30" x14ac:dyDescent="0.2">
      <c r="A404" s="112" t="str">
        <f>IF(SUM(Q404:R404)=1,1+MAX($A$1:A403),"")</f>
        <v/>
      </c>
      <c r="B404" s="112" t="str">
        <f>IF(SUM(X404:Y404)=1,1+MAX($B$1:B403),"")</f>
        <v/>
      </c>
      <c r="C404" s="112" t="str">
        <f>IF(SUM(Q404:R404,X404:Y404)=2,1+MAX($C$1:C403),"")</f>
        <v/>
      </c>
      <c r="D404" s="113">
        <v>33041</v>
      </c>
      <c r="E404" s="112">
        <v>1990</v>
      </c>
      <c r="F404" s="112" t="s">
        <v>2666</v>
      </c>
      <c r="G404" s="112" t="s">
        <v>2667</v>
      </c>
      <c r="H404" s="114" t="s">
        <v>2554</v>
      </c>
      <c r="I404" s="112">
        <f t="shared" si="96"/>
        <v>3</v>
      </c>
      <c r="J404" s="112">
        <f t="shared" si="97"/>
        <v>1</v>
      </c>
      <c r="K404" s="115" t="s">
        <v>2540</v>
      </c>
      <c r="L404" s="115" t="s">
        <v>2932</v>
      </c>
      <c r="M404" s="115" t="s">
        <v>2937</v>
      </c>
      <c r="N404" s="115">
        <v>33759</v>
      </c>
      <c r="O404" s="112">
        <v>3</v>
      </c>
      <c r="P404" s="116" t="s">
        <v>2663</v>
      </c>
      <c r="Q404" s="112" t="str">
        <f t="shared" si="98"/>
        <v/>
      </c>
      <c r="R404" s="112" t="str">
        <f t="shared" si="99"/>
        <v/>
      </c>
      <c r="S404" s="112" t="str">
        <f t="shared" si="102"/>
        <v/>
      </c>
      <c r="T404" s="112" t="str">
        <f t="shared" si="103"/>
        <v/>
      </c>
      <c r="U404" s="112" t="str">
        <f t="shared" si="104"/>
        <v/>
      </c>
      <c r="V404" s="112" t="str">
        <f t="shared" si="105"/>
        <v/>
      </c>
      <c r="W404" s="112" t="str">
        <f t="shared" si="106"/>
        <v/>
      </c>
      <c r="X404" s="112" t="str">
        <f t="shared" si="100"/>
        <v/>
      </c>
      <c r="Y404" s="112" t="str">
        <f t="shared" si="101"/>
        <v/>
      </c>
      <c r="Z404" s="112" t="str">
        <f t="shared" si="107"/>
        <v/>
      </c>
      <c r="AA404" s="112" t="str">
        <f t="shared" si="108"/>
        <v/>
      </c>
      <c r="AB404" s="112" t="str">
        <f t="shared" si="109"/>
        <v/>
      </c>
      <c r="AC404" s="112" t="str">
        <f t="shared" si="110"/>
        <v/>
      </c>
      <c r="AD404" s="112" t="str">
        <f t="shared" si="111"/>
        <v/>
      </c>
    </row>
    <row r="405" spans="1:30" x14ac:dyDescent="0.2">
      <c r="A405" s="112">
        <f>IF(SUM(Q405:R405)=1,1+MAX($A$1:A404),"")</f>
        <v>27</v>
      </c>
      <c r="B405" s="112" t="str">
        <f>IF(SUM(X405:Y405)=1,1+MAX($B$1:B404),"")</f>
        <v/>
      </c>
      <c r="C405" s="112" t="str">
        <f>IF(SUM(Q405:R405,X405:Y405)=2,1+MAX($C$1:C404),"")</f>
        <v/>
      </c>
      <c r="D405" s="113">
        <v>33040</v>
      </c>
      <c r="E405" s="112">
        <v>1990</v>
      </c>
      <c r="F405" s="112" t="s">
        <v>2661</v>
      </c>
      <c r="G405" s="112" t="s">
        <v>2662</v>
      </c>
      <c r="H405" s="114" t="s">
        <v>2545</v>
      </c>
      <c r="I405" s="112">
        <f t="shared" si="96"/>
        <v>0</v>
      </c>
      <c r="J405" s="112">
        <f t="shared" si="97"/>
        <v>0</v>
      </c>
      <c r="K405" s="115" t="s">
        <v>2604</v>
      </c>
      <c r="L405" s="115" t="s">
        <v>2940</v>
      </c>
      <c r="M405" s="115" t="s">
        <v>2943</v>
      </c>
      <c r="N405" s="115">
        <v>35267</v>
      </c>
      <c r="O405" s="112">
        <v>2</v>
      </c>
      <c r="P405" s="116" t="s">
        <v>2613</v>
      </c>
      <c r="Q405" s="112">
        <f t="shared" si="98"/>
        <v>1</v>
      </c>
      <c r="R405" s="112" t="str">
        <f t="shared" si="99"/>
        <v/>
      </c>
      <c r="S405" s="112">
        <f t="shared" si="102"/>
        <v>0</v>
      </c>
      <c r="T405" s="112">
        <f t="shared" si="103"/>
        <v>1</v>
      </c>
      <c r="U405" s="112">
        <f t="shared" si="104"/>
        <v>0</v>
      </c>
      <c r="V405" s="112">
        <f t="shared" si="105"/>
        <v>0</v>
      </c>
      <c r="W405" s="112">
        <f t="shared" si="106"/>
        <v>0</v>
      </c>
      <c r="X405" s="112" t="str">
        <f t="shared" si="100"/>
        <v/>
      </c>
      <c r="Y405" s="112" t="str">
        <f t="shared" si="101"/>
        <v/>
      </c>
      <c r="Z405" s="112" t="str">
        <f t="shared" si="107"/>
        <v/>
      </c>
      <c r="AA405" s="112" t="str">
        <f t="shared" si="108"/>
        <v/>
      </c>
      <c r="AB405" s="112" t="str">
        <f t="shared" si="109"/>
        <v/>
      </c>
      <c r="AC405" s="112" t="str">
        <f t="shared" si="110"/>
        <v/>
      </c>
      <c r="AD405" s="112" t="str">
        <f t="shared" si="111"/>
        <v/>
      </c>
    </row>
    <row r="406" spans="1:30" x14ac:dyDescent="0.2">
      <c r="A406" s="112" t="str">
        <f>IF(SUM(Q406:R406)=1,1+MAX($A$1:A405),"")</f>
        <v/>
      </c>
      <c r="B406" s="112" t="str">
        <f>IF(SUM(X406:Y406)=1,1+MAX($B$1:B405),"")</f>
        <v/>
      </c>
      <c r="C406" s="112" t="str">
        <f>IF(SUM(Q406:R406,X406:Y406)=2,1+MAX($C$1:C405),"")</f>
        <v/>
      </c>
      <c r="D406" s="113">
        <v>33040</v>
      </c>
      <c r="E406" s="112">
        <v>1990</v>
      </c>
      <c r="F406" s="112" t="s">
        <v>2677</v>
      </c>
      <c r="G406" s="112" t="s">
        <v>2678</v>
      </c>
      <c r="H406" s="114" t="s">
        <v>2717</v>
      </c>
      <c r="I406" s="112">
        <f t="shared" si="96"/>
        <v>2</v>
      </c>
      <c r="J406" s="112">
        <f t="shared" si="97"/>
        <v>1</v>
      </c>
      <c r="K406" s="115" t="s">
        <v>2549</v>
      </c>
      <c r="L406" s="115" t="s">
        <v>2935</v>
      </c>
      <c r="M406" s="115" t="s">
        <v>2948</v>
      </c>
      <c r="N406" s="115">
        <v>31823</v>
      </c>
      <c r="O406" s="112">
        <v>2</v>
      </c>
      <c r="P406" s="116" t="s">
        <v>2626</v>
      </c>
      <c r="Q406" s="112" t="str">
        <f t="shared" si="98"/>
        <v/>
      </c>
      <c r="R406" s="112" t="str">
        <f t="shared" si="99"/>
        <v/>
      </c>
      <c r="S406" s="112" t="str">
        <f t="shared" si="102"/>
        <v/>
      </c>
      <c r="T406" s="112" t="str">
        <f t="shared" si="103"/>
        <v/>
      </c>
      <c r="U406" s="112" t="str">
        <f t="shared" si="104"/>
        <v/>
      </c>
      <c r="V406" s="112" t="str">
        <f t="shared" si="105"/>
        <v/>
      </c>
      <c r="W406" s="112" t="str">
        <f t="shared" si="106"/>
        <v/>
      </c>
      <c r="X406" s="112" t="str">
        <f t="shared" si="100"/>
        <v/>
      </c>
      <c r="Y406" s="112" t="str">
        <f t="shared" si="101"/>
        <v/>
      </c>
      <c r="Z406" s="112" t="str">
        <f t="shared" si="107"/>
        <v/>
      </c>
      <c r="AA406" s="112" t="str">
        <f t="shared" si="108"/>
        <v/>
      </c>
      <c r="AB406" s="112" t="str">
        <f t="shared" si="109"/>
        <v/>
      </c>
      <c r="AC406" s="112" t="str">
        <f t="shared" si="110"/>
        <v/>
      </c>
      <c r="AD406" s="112" t="str">
        <f t="shared" si="111"/>
        <v/>
      </c>
    </row>
    <row r="407" spans="1:30" x14ac:dyDescent="0.2">
      <c r="A407" s="112" t="str">
        <f>IF(SUM(Q407:R407)=1,1+MAX($A$1:A406),"")</f>
        <v/>
      </c>
      <c r="B407" s="112" t="str">
        <f>IF(SUM(X407:Y407)=1,1+MAX($B$1:B406),"")</f>
        <v/>
      </c>
      <c r="C407" s="112" t="str">
        <f>IF(SUM(Q407:R407,X407:Y407)=2,1+MAX($C$1:C406),"")</f>
        <v/>
      </c>
      <c r="D407" s="113">
        <v>33040</v>
      </c>
      <c r="E407" s="112">
        <v>1990</v>
      </c>
      <c r="F407" s="112" t="s">
        <v>2677</v>
      </c>
      <c r="G407" s="112" t="s">
        <v>2678</v>
      </c>
      <c r="H407" s="114" t="s">
        <v>1442</v>
      </c>
      <c r="I407" s="112">
        <f t="shared" si="96"/>
        <v>1</v>
      </c>
      <c r="J407" s="112">
        <f t="shared" si="97"/>
        <v>0</v>
      </c>
      <c r="K407" s="115" t="s">
        <v>2550</v>
      </c>
      <c r="L407" s="115" t="s">
        <v>2923</v>
      </c>
      <c r="M407" s="115" t="s">
        <v>2910</v>
      </c>
      <c r="N407" s="115">
        <v>58007</v>
      </c>
      <c r="O407" s="112">
        <v>3</v>
      </c>
      <c r="P407" s="116" t="s">
        <v>2622</v>
      </c>
      <c r="Q407" s="112" t="str">
        <f t="shared" si="98"/>
        <v/>
      </c>
      <c r="R407" s="112" t="str">
        <f t="shared" si="99"/>
        <v/>
      </c>
      <c r="S407" s="112" t="str">
        <f t="shared" si="102"/>
        <v/>
      </c>
      <c r="T407" s="112" t="str">
        <f t="shared" si="103"/>
        <v/>
      </c>
      <c r="U407" s="112" t="str">
        <f t="shared" si="104"/>
        <v/>
      </c>
      <c r="V407" s="112" t="str">
        <f t="shared" si="105"/>
        <v/>
      </c>
      <c r="W407" s="112" t="str">
        <f t="shared" si="106"/>
        <v/>
      </c>
      <c r="X407" s="112" t="str">
        <f t="shared" si="100"/>
        <v/>
      </c>
      <c r="Y407" s="112" t="str">
        <f t="shared" si="101"/>
        <v/>
      </c>
      <c r="Z407" s="112" t="str">
        <f t="shared" si="107"/>
        <v/>
      </c>
      <c r="AA407" s="112" t="str">
        <f t="shared" si="108"/>
        <v/>
      </c>
      <c r="AB407" s="112" t="str">
        <f t="shared" si="109"/>
        <v/>
      </c>
      <c r="AC407" s="112" t="str">
        <f t="shared" si="110"/>
        <v/>
      </c>
      <c r="AD407" s="112" t="str">
        <f t="shared" si="111"/>
        <v/>
      </c>
    </row>
    <row r="408" spans="1:30" x14ac:dyDescent="0.2">
      <c r="A408" s="112" t="str">
        <f>IF(SUM(Q408:R408)=1,1+MAX($A$1:A407),"")</f>
        <v/>
      </c>
      <c r="B408" s="112" t="str">
        <f>IF(SUM(X408:Y408)=1,1+MAX($B$1:B407),"")</f>
        <v/>
      </c>
      <c r="C408" s="112" t="str">
        <f>IF(SUM(Q408:R408,X408:Y408)=2,1+MAX($C$1:C407),"")</f>
        <v/>
      </c>
      <c r="D408" s="113">
        <v>33039</v>
      </c>
      <c r="E408" s="112">
        <v>1990</v>
      </c>
      <c r="F408" s="112" t="s">
        <v>2672</v>
      </c>
      <c r="G408" s="112" t="s">
        <v>2673</v>
      </c>
      <c r="H408" s="114" t="s">
        <v>2547</v>
      </c>
      <c r="I408" s="112">
        <f t="shared" si="96"/>
        <v>5</v>
      </c>
      <c r="J408" s="112">
        <f t="shared" si="97"/>
        <v>1</v>
      </c>
      <c r="K408" s="115" t="s">
        <v>2627</v>
      </c>
      <c r="L408" s="115" t="s">
        <v>2927</v>
      </c>
      <c r="M408" s="115" t="s">
        <v>2949</v>
      </c>
      <c r="N408" s="115">
        <v>71169</v>
      </c>
      <c r="O408" s="112">
        <v>2</v>
      </c>
      <c r="P408" s="116" t="s">
        <v>2719</v>
      </c>
      <c r="Q408" s="112" t="str">
        <f t="shared" si="98"/>
        <v/>
      </c>
      <c r="R408" s="112" t="str">
        <f t="shared" si="99"/>
        <v/>
      </c>
      <c r="S408" s="112" t="str">
        <f t="shared" si="102"/>
        <v/>
      </c>
      <c r="T408" s="112" t="str">
        <f t="shared" si="103"/>
        <v/>
      </c>
      <c r="U408" s="112" t="str">
        <f t="shared" si="104"/>
        <v/>
      </c>
      <c r="V408" s="112" t="str">
        <f t="shared" si="105"/>
        <v/>
      </c>
      <c r="W408" s="112" t="str">
        <f t="shared" si="106"/>
        <v/>
      </c>
      <c r="X408" s="112" t="str">
        <f t="shared" si="100"/>
        <v/>
      </c>
      <c r="Y408" s="112" t="str">
        <f t="shared" si="101"/>
        <v/>
      </c>
      <c r="Z408" s="112" t="str">
        <f t="shared" si="107"/>
        <v/>
      </c>
      <c r="AA408" s="112" t="str">
        <f t="shared" si="108"/>
        <v/>
      </c>
      <c r="AB408" s="112" t="str">
        <f t="shared" si="109"/>
        <v/>
      </c>
      <c r="AC408" s="112" t="str">
        <f t="shared" si="110"/>
        <v/>
      </c>
      <c r="AD408" s="112" t="str">
        <f t="shared" si="111"/>
        <v/>
      </c>
    </row>
    <row r="409" spans="1:30" x14ac:dyDescent="0.2">
      <c r="A409" s="112" t="str">
        <f>IF(SUM(Q409:R409)=1,1+MAX($A$1:A408),"")</f>
        <v/>
      </c>
      <c r="B409" s="112" t="str">
        <f>IF(SUM(X409:Y409)=1,1+MAX($B$1:B408),"")</f>
        <v/>
      </c>
      <c r="C409" s="112" t="str">
        <f>IF(SUM(Q409:R409,X409:Y409)=2,1+MAX($C$1:C408),"")</f>
        <v/>
      </c>
      <c r="D409" s="113">
        <v>33039</v>
      </c>
      <c r="E409" s="112">
        <v>1990</v>
      </c>
      <c r="F409" s="112" t="s">
        <v>2689</v>
      </c>
      <c r="G409" s="112" t="s">
        <v>2690</v>
      </c>
      <c r="H409" s="114" t="s">
        <v>2623</v>
      </c>
      <c r="I409" s="112">
        <f t="shared" si="96"/>
        <v>0</v>
      </c>
      <c r="J409" s="112">
        <f t="shared" si="97"/>
        <v>1</v>
      </c>
      <c r="K409" s="115" t="s">
        <v>2648</v>
      </c>
      <c r="L409" s="115" t="s">
        <v>2930</v>
      </c>
      <c r="M409" s="115" t="s">
        <v>2950</v>
      </c>
      <c r="N409" s="115">
        <v>38962</v>
      </c>
      <c r="O409" s="112">
        <v>2</v>
      </c>
      <c r="P409" s="116" t="s">
        <v>2601</v>
      </c>
      <c r="Q409" s="112" t="str">
        <f t="shared" si="98"/>
        <v/>
      </c>
      <c r="R409" s="112" t="str">
        <f t="shared" si="99"/>
        <v/>
      </c>
      <c r="S409" s="112" t="str">
        <f t="shared" si="102"/>
        <v/>
      </c>
      <c r="T409" s="112" t="str">
        <f t="shared" si="103"/>
        <v/>
      </c>
      <c r="U409" s="112" t="str">
        <f t="shared" si="104"/>
        <v/>
      </c>
      <c r="V409" s="112" t="str">
        <f t="shared" si="105"/>
        <v/>
      </c>
      <c r="W409" s="112" t="str">
        <f t="shared" si="106"/>
        <v/>
      </c>
      <c r="X409" s="112" t="str">
        <f t="shared" si="100"/>
        <v/>
      </c>
      <c r="Y409" s="112" t="str">
        <f t="shared" si="101"/>
        <v/>
      </c>
      <c r="Z409" s="112" t="str">
        <f t="shared" si="107"/>
        <v/>
      </c>
      <c r="AA409" s="112" t="str">
        <f t="shared" si="108"/>
        <v/>
      </c>
      <c r="AB409" s="112" t="str">
        <f t="shared" si="109"/>
        <v/>
      </c>
      <c r="AC409" s="112" t="str">
        <f t="shared" si="110"/>
        <v/>
      </c>
      <c r="AD409" s="112" t="str">
        <f t="shared" si="111"/>
        <v/>
      </c>
    </row>
    <row r="410" spans="1:30" x14ac:dyDescent="0.2">
      <c r="A410" s="112" t="str">
        <f>IF(SUM(Q410:R410)=1,1+MAX($A$1:A409),"")</f>
        <v/>
      </c>
      <c r="B410" s="112" t="str">
        <f>IF(SUM(X410:Y410)=1,1+MAX($B$1:B409),"")</f>
        <v/>
      </c>
      <c r="C410" s="112" t="str">
        <f>IF(SUM(Q410:R410,X410:Y410)=2,1+MAX($C$1:C409),"")</f>
        <v/>
      </c>
      <c r="D410" s="113">
        <v>33038</v>
      </c>
      <c r="E410" s="112">
        <v>1990</v>
      </c>
      <c r="F410" s="112" t="s">
        <v>2672</v>
      </c>
      <c r="G410" s="112" t="s">
        <v>2673</v>
      </c>
      <c r="H410" s="114" t="s">
        <v>1347</v>
      </c>
      <c r="I410" s="112">
        <f t="shared" si="96"/>
        <v>0</v>
      </c>
      <c r="J410" s="112">
        <f t="shared" si="97"/>
        <v>1</v>
      </c>
      <c r="K410" s="115" t="s">
        <v>2862</v>
      </c>
      <c r="L410" s="115" t="s">
        <v>2931</v>
      </c>
      <c r="M410" s="115" t="s">
        <v>2951</v>
      </c>
      <c r="N410" s="115">
        <v>32257</v>
      </c>
      <c r="O410" s="112">
        <v>2</v>
      </c>
      <c r="P410" s="116" t="s">
        <v>2601</v>
      </c>
      <c r="Q410" s="112" t="str">
        <f t="shared" si="98"/>
        <v/>
      </c>
      <c r="R410" s="112" t="str">
        <f t="shared" si="99"/>
        <v/>
      </c>
      <c r="S410" s="112" t="str">
        <f t="shared" si="102"/>
        <v/>
      </c>
      <c r="T410" s="112" t="str">
        <f t="shared" si="103"/>
        <v/>
      </c>
      <c r="U410" s="112" t="str">
        <f t="shared" si="104"/>
        <v/>
      </c>
      <c r="V410" s="112" t="str">
        <f t="shared" si="105"/>
        <v/>
      </c>
      <c r="W410" s="112" t="str">
        <f t="shared" si="106"/>
        <v/>
      </c>
      <c r="X410" s="112" t="str">
        <f t="shared" si="100"/>
        <v/>
      </c>
      <c r="Y410" s="112" t="str">
        <f t="shared" si="101"/>
        <v/>
      </c>
      <c r="Z410" s="112" t="str">
        <f t="shared" si="107"/>
        <v/>
      </c>
      <c r="AA410" s="112" t="str">
        <f t="shared" si="108"/>
        <v/>
      </c>
      <c r="AB410" s="112" t="str">
        <f t="shared" si="109"/>
        <v/>
      </c>
      <c r="AC410" s="112" t="str">
        <f t="shared" si="110"/>
        <v/>
      </c>
      <c r="AD410" s="112" t="str">
        <f t="shared" si="111"/>
        <v/>
      </c>
    </row>
    <row r="411" spans="1:30" x14ac:dyDescent="0.2">
      <c r="A411" s="112" t="str">
        <f>IF(SUM(Q411:R411)=1,1+MAX($A$1:A410),"")</f>
        <v/>
      </c>
      <c r="B411" s="112" t="str">
        <f>IF(SUM(X411:Y411)=1,1+MAX($B$1:B410),"")</f>
        <v/>
      </c>
      <c r="C411" s="112" t="str">
        <f>IF(SUM(Q411:R411,X411:Y411)=2,1+MAX($C$1:C410),"")</f>
        <v/>
      </c>
      <c r="D411" s="113">
        <v>33038</v>
      </c>
      <c r="E411" s="112">
        <v>1990</v>
      </c>
      <c r="F411" s="112" t="s">
        <v>2684</v>
      </c>
      <c r="G411" s="112" t="s">
        <v>2685</v>
      </c>
      <c r="H411" s="114" t="s">
        <v>2693</v>
      </c>
      <c r="I411" s="112">
        <f t="shared" si="96"/>
        <v>2</v>
      </c>
      <c r="J411" s="112">
        <f t="shared" si="97"/>
        <v>1</v>
      </c>
      <c r="K411" s="115" t="s">
        <v>2711</v>
      </c>
      <c r="L411" s="115" t="s">
        <v>2922</v>
      </c>
      <c r="M411" s="115" t="s">
        <v>2952</v>
      </c>
      <c r="N411" s="115">
        <v>38687</v>
      </c>
      <c r="O411" s="112">
        <v>2</v>
      </c>
      <c r="P411" s="116" t="s">
        <v>2626</v>
      </c>
      <c r="Q411" s="112" t="str">
        <f t="shared" si="98"/>
        <v/>
      </c>
      <c r="R411" s="112" t="str">
        <f t="shared" si="99"/>
        <v/>
      </c>
      <c r="S411" s="112" t="str">
        <f t="shared" si="102"/>
        <v/>
      </c>
      <c r="T411" s="112" t="str">
        <f t="shared" si="103"/>
        <v/>
      </c>
      <c r="U411" s="112" t="str">
        <f t="shared" si="104"/>
        <v/>
      </c>
      <c r="V411" s="112" t="str">
        <f t="shared" si="105"/>
        <v/>
      </c>
      <c r="W411" s="112" t="str">
        <f t="shared" si="106"/>
        <v/>
      </c>
      <c r="X411" s="112" t="str">
        <f t="shared" si="100"/>
        <v/>
      </c>
      <c r="Y411" s="112" t="str">
        <f t="shared" si="101"/>
        <v/>
      </c>
      <c r="Z411" s="112" t="str">
        <f t="shared" si="107"/>
        <v/>
      </c>
      <c r="AA411" s="112" t="str">
        <f t="shared" si="108"/>
        <v/>
      </c>
      <c r="AB411" s="112" t="str">
        <f t="shared" si="109"/>
        <v/>
      </c>
      <c r="AC411" s="112" t="str">
        <f t="shared" si="110"/>
        <v/>
      </c>
      <c r="AD411" s="112" t="str">
        <f t="shared" si="111"/>
        <v/>
      </c>
    </row>
    <row r="412" spans="1:30" x14ac:dyDescent="0.2">
      <c r="A412" s="112" t="str">
        <f>IF(SUM(Q412:R412)=1,1+MAX($A$1:A411),"")</f>
        <v/>
      </c>
      <c r="B412" s="112" t="str">
        <f>IF(SUM(X412:Y412)=1,1+MAX($B$1:B411),"")</f>
        <v/>
      </c>
      <c r="C412" s="112" t="str">
        <f>IF(SUM(Q412:R412,X412:Y412)=2,1+MAX($C$1:C411),"")</f>
        <v/>
      </c>
      <c r="D412" s="113">
        <v>33038</v>
      </c>
      <c r="E412" s="112">
        <v>1990</v>
      </c>
      <c r="F412" s="112" t="s">
        <v>2689</v>
      </c>
      <c r="G412" s="112" t="s">
        <v>2690</v>
      </c>
      <c r="H412" s="114" t="s">
        <v>2674</v>
      </c>
      <c r="I412" s="112">
        <f t="shared" si="96"/>
        <v>1</v>
      </c>
      <c r="J412" s="112">
        <f t="shared" si="97"/>
        <v>0</v>
      </c>
      <c r="K412" s="115" t="s">
        <v>2614</v>
      </c>
      <c r="L412" s="115" t="s">
        <v>2920</v>
      </c>
      <c r="M412" s="115" t="s">
        <v>2921</v>
      </c>
      <c r="N412" s="115">
        <v>73423</v>
      </c>
      <c r="O412" s="112">
        <v>2</v>
      </c>
      <c r="P412" s="116" t="s">
        <v>2622</v>
      </c>
      <c r="Q412" s="112" t="str">
        <f t="shared" si="98"/>
        <v/>
      </c>
      <c r="R412" s="112" t="str">
        <f t="shared" si="99"/>
        <v/>
      </c>
      <c r="S412" s="112" t="str">
        <f t="shared" si="102"/>
        <v/>
      </c>
      <c r="T412" s="112" t="str">
        <f t="shared" si="103"/>
        <v/>
      </c>
      <c r="U412" s="112" t="str">
        <f t="shared" si="104"/>
        <v/>
      </c>
      <c r="V412" s="112" t="str">
        <f t="shared" si="105"/>
        <v/>
      </c>
      <c r="W412" s="112" t="str">
        <f t="shared" si="106"/>
        <v/>
      </c>
      <c r="X412" s="112" t="str">
        <f t="shared" si="100"/>
        <v/>
      </c>
      <c r="Y412" s="112" t="str">
        <f t="shared" si="101"/>
        <v/>
      </c>
      <c r="Z412" s="112" t="str">
        <f t="shared" si="107"/>
        <v/>
      </c>
      <c r="AA412" s="112" t="str">
        <f t="shared" si="108"/>
        <v/>
      </c>
      <c r="AB412" s="112" t="str">
        <f t="shared" si="109"/>
        <v/>
      </c>
      <c r="AC412" s="112" t="str">
        <f t="shared" si="110"/>
        <v/>
      </c>
      <c r="AD412" s="112" t="str">
        <f t="shared" si="111"/>
        <v/>
      </c>
    </row>
    <row r="413" spans="1:30" x14ac:dyDescent="0.2">
      <c r="A413" s="112" t="str">
        <f>IF(SUM(Q413:R413)=1,1+MAX($A$1:A412),"")</f>
        <v/>
      </c>
      <c r="B413" s="112" t="str">
        <f>IF(SUM(X413:Y413)=1,1+MAX($B$1:B412),"")</f>
        <v/>
      </c>
      <c r="C413" s="112" t="str">
        <f>IF(SUM(Q413:R413,X413:Y413)=2,1+MAX($C$1:C412),"")</f>
        <v/>
      </c>
      <c r="D413" s="113">
        <v>33037</v>
      </c>
      <c r="E413" s="112">
        <v>1990</v>
      </c>
      <c r="F413" s="112" t="s">
        <v>2666</v>
      </c>
      <c r="G413" s="112" t="s">
        <v>2667</v>
      </c>
      <c r="H413" s="114" t="s">
        <v>2557</v>
      </c>
      <c r="I413" s="112">
        <f t="shared" si="96"/>
        <v>0</v>
      </c>
      <c r="J413" s="112">
        <f t="shared" si="97"/>
        <v>0</v>
      </c>
      <c r="K413" s="115" t="s">
        <v>2540</v>
      </c>
      <c r="L413" s="115" t="s">
        <v>2941</v>
      </c>
      <c r="M413" s="115" t="s">
        <v>2928</v>
      </c>
      <c r="N413" s="115">
        <v>35713</v>
      </c>
      <c r="O413" s="112">
        <v>3</v>
      </c>
      <c r="P413" s="116" t="s">
        <v>2613</v>
      </c>
      <c r="Q413" s="112" t="str">
        <f t="shared" si="98"/>
        <v/>
      </c>
      <c r="R413" s="112" t="str">
        <f t="shared" si="99"/>
        <v/>
      </c>
      <c r="S413" s="112" t="str">
        <f t="shared" si="102"/>
        <v/>
      </c>
      <c r="T413" s="112" t="str">
        <f t="shared" si="103"/>
        <v/>
      </c>
      <c r="U413" s="112" t="str">
        <f t="shared" si="104"/>
        <v/>
      </c>
      <c r="V413" s="112" t="str">
        <f t="shared" si="105"/>
        <v/>
      </c>
      <c r="W413" s="112" t="str">
        <f t="shared" si="106"/>
        <v/>
      </c>
      <c r="X413" s="112" t="str">
        <f t="shared" si="100"/>
        <v/>
      </c>
      <c r="Y413" s="112" t="str">
        <f t="shared" si="101"/>
        <v/>
      </c>
      <c r="Z413" s="112" t="str">
        <f t="shared" si="107"/>
        <v/>
      </c>
      <c r="AA413" s="112" t="str">
        <f t="shared" si="108"/>
        <v/>
      </c>
      <c r="AB413" s="112" t="str">
        <f t="shared" si="109"/>
        <v/>
      </c>
      <c r="AC413" s="112" t="str">
        <f t="shared" si="110"/>
        <v/>
      </c>
      <c r="AD413" s="112" t="str">
        <f t="shared" si="111"/>
        <v/>
      </c>
    </row>
    <row r="414" spans="1:30" x14ac:dyDescent="0.2">
      <c r="A414" s="112" t="str">
        <f>IF(SUM(Q414:R414)=1,1+MAX($A$1:A413),"")</f>
        <v/>
      </c>
      <c r="B414" s="112">
        <f>IF(SUM(X414:Y414)=1,1+MAX($B$1:B413),"")</f>
        <v>35</v>
      </c>
      <c r="C414" s="112" t="str">
        <f>IF(SUM(Q414:R414,X414:Y414)=2,1+MAX($C$1:C413),"")</f>
        <v/>
      </c>
      <c r="D414" s="113">
        <v>33037</v>
      </c>
      <c r="E414" s="112">
        <v>1990</v>
      </c>
      <c r="F414" s="112" t="s">
        <v>2684</v>
      </c>
      <c r="G414" s="112" t="s">
        <v>2685</v>
      </c>
      <c r="H414" s="114" t="s">
        <v>1134</v>
      </c>
      <c r="I414" s="112">
        <f t="shared" si="96"/>
        <v>2</v>
      </c>
      <c r="J414" s="112">
        <f t="shared" si="97"/>
        <v>0</v>
      </c>
      <c r="K414" s="115" t="s">
        <v>2720</v>
      </c>
      <c r="L414" s="115" t="s">
        <v>2925</v>
      </c>
      <c r="M414" s="115" t="s">
        <v>2953</v>
      </c>
      <c r="N414" s="115">
        <v>55759</v>
      </c>
      <c r="O414" s="112">
        <v>2</v>
      </c>
      <c r="P414" s="116" t="s">
        <v>2641</v>
      </c>
      <c r="Q414" s="112" t="str">
        <f t="shared" si="98"/>
        <v/>
      </c>
      <c r="R414" s="112" t="str">
        <f t="shared" si="99"/>
        <v/>
      </c>
      <c r="S414" s="112" t="str">
        <f t="shared" si="102"/>
        <v/>
      </c>
      <c r="T414" s="112" t="str">
        <f t="shared" si="103"/>
        <v/>
      </c>
      <c r="U414" s="112" t="str">
        <f t="shared" si="104"/>
        <v/>
      </c>
      <c r="V414" s="112" t="str">
        <f t="shared" si="105"/>
        <v/>
      </c>
      <c r="W414" s="112" t="str">
        <f t="shared" si="106"/>
        <v/>
      </c>
      <c r="X414" s="112">
        <f t="shared" si="100"/>
        <v>1</v>
      </c>
      <c r="Y414" s="112" t="str">
        <f t="shared" si="101"/>
        <v/>
      </c>
      <c r="Z414" s="112">
        <f t="shared" si="107"/>
        <v>1</v>
      </c>
      <c r="AA414" s="112">
        <f t="shared" si="108"/>
        <v>0</v>
      </c>
      <c r="AB414" s="112">
        <f t="shared" si="109"/>
        <v>0</v>
      </c>
      <c r="AC414" s="112">
        <f t="shared" si="110"/>
        <v>2</v>
      </c>
      <c r="AD414" s="112">
        <f t="shared" si="111"/>
        <v>2</v>
      </c>
    </row>
    <row r="415" spans="1:30" x14ac:dyDescent="0.2">
      <c r="A415" s="112" t="str">
        <f>IF(SUM(Q415:R415)=1,1+MAX($A$1:A414),"")</f>
        <v/>
      </c>
      <c r="B415" s="112" t="str">
        <f>IF(SUM(X415:Y415)=1,1+MAX($B$1:B414),"")</f>
        <v/>
      </c>
      <c r="C415" s="112" t="str">
        <f>IF(SUM(Q415:R415,X415:Y415)=2,1+MAX($C$1:C414),"")</f>
        <v/>
      </c>
      <c r="D415" s="113">
        <v>33036</v>
      </c>
      <c r="E415" s="112">
        <v>1990</v>
      </c>
      <c r="F415" s="112" t="s">
        <v>2661</v>
      </c>
      <c r="G415" s="112" t="s">
        <v>2662</v>
      </c>
      <c r="H415" s="114" t="s">
        <v>2552</v>
      </c>
      <c r="I415" s="112">
        <f t="shared" si="96"/>
        <v>1</v>
      </c>
      <c r="J415" s="112">
        <f t="shared" si="97"/>
        <v>1</v>
      </c>
      <c r="K415" s="115" t="s">
        <v>2604</v>
      </c>
      <c r="L415" s="115" t="s">
        <v>2939</v>
      </c>
      <c r="M415" s="115" t="s">
        <v>2954</v>
      </c>
      <c r="N415" s="115">
        <v>33421</v>
      </c>
      <c r="O415" s="112">
        <v>2</v>
      </c>
      <c r="P415" s="116" t="s">
        <v>2645</v>
      </c>
      <c r="Q415" s="112" t="str">
        <f t="shared" si="98"/>
        <v/>
      </c>
      <c r="R415" s="112" t="str">
        <f t="shared" si="99"/>
        <v/>
      </c>
      <c r="S415" s="112" t="str">
        <f t="shared" si="102"/>
        <v/>
      </c>
      <c r="T415" s="112" t="str">
        <f t="shared" si="103"/>
        <v/>
      </c>
      <c r="U415" s="112" t="str">
        <f t="shared" si="104"/>
        <v/>
      </c>
      <c r="V415" s="112" t="str">
        <f t="shared" si="105"/>
        <v/>
      </c>
      <c r="W415" s="112" t="str">
        <f t="shared" si="106"/>
        <v/>
      </c>
      <c r="X415" s="112" t="str">
        <f t="shared" si="100"/>
        <v/>
      </c>
      <c r="Y415" s="112" t="str">
        <f t="shared" si="101"/>
        <v/>
      </c>
      <c r="Z415" s="112" t="str">
        <f t="shared" si="107"/>
        <v/>
      </c>
      <c r="AA415" s="112" t="str">
        <f t="shared" si="108"/>
        <v/>
      </c>
      <c r="AB415" s="112" t="str">
        <f t="shared" si="109"/>
        <v/>
      </c>
      <c r="AC415" s="112" t="str">
        <f t="shared" si="110"/>
        <v/>
      </c>
      <c r="AD415" s="112" t="str">
        <f t="shared" si="111"/>
        <v/>
      </c>
    </row>
    <row r="416" spans="1:30" x14ac:dyDescent="0.2">
      <c r="A416" s="112" t="str">
        <f>IF(SUM(Q416:R416)=1,1+MAX($A$1:A415),"")</f>
        <v/>
      </c>
      <c r="B416" s="112" t="str">
        <f>IF(SUM(X416:Y416)=1,1+MAX($B$1:B415),"")</f>
        <v/>
      </c>
      <c r="C416" s="112" t="str">
        <f>IF(SUM(Q416:R416,X416:Y416)=2,1+MAX($C$1:C415),"")</f>
        <v/>
      </c>
      <c r="D416" s="113">
        <v>33036</v>
      </c>
      <c r="E416" s="112">
        <v>1990</v>
      </c>
      <c r="F416" s="112" t="s">
        <v>2666</v>
      </c>
      <c r="G416" s="112" t="s">
        <v>2667</v>
      </c>
      <c r="H416" s="114" t="s">
        <v>2554</v>
      </c>
      <c r="I416" s="112">
        <f t="shared" si="96"/>
        <v>2</v>
      </c>
      <c r="J416" s="112">
        <f t="shared" si="97"/>
        <v>0</v>
      </c>
      <c r="K416" s="115" t="s">
        <v>2543</v>
      </c>
      <c r="L416" s="115" t="s">
        <v>2932</v>
      </c>
      <c r="M416" s="115" t="s">
        <v>2955</v>
      </c>
      <c r="N416" s="115">
        <v>32790</v>
      </c>
      <c r="O416" s="112">
        <v>2</v>
      </c>
      <c r="P416" s="116" t="s">
        <v>2641</v>
      </c>
      <c r="Q416" s="112" t="str">
        <f t="shared" si="98"/>
        <v/>
      </c>
      <c r="R416" s="112" t="str">
        <f t="shared" si="99"/>
        <v/>
      </c>
      <c r="S416" s="112" t="str">
        <f t="shared" si="102"/>
        <v/>
      </c>
      <c r="T416" s="112" t="str">
        <f t="shared" si="103"/>
        <v/>
      </c>
      <c r="U416" s="112" t="str">
        <f t="shared" si="104"/>
        <v/>
      </c>
      <c r="V416" s="112" t="str">
        <f t="shared" si="105"/>
        <v/>
      </c>
      <c r="W416" s="112" t="str">
        <f t="shared" si="106"/>
        <v/>
      </c>
      <c r="X416" s="112" t="str">
        <f t="shared" si="100"/>
        <v/>
      </c>
      <c r="Y416" s="112" t="str">
        <f t="shared" si="101"/>
        <v/>
      </c>
      <c r="Z416" s="112" t="str">
        <f t="shared" si="107"/>
        <v/>
      </c>
      <c r="AA416" s="112" t="str">
        <f t="shared" si="108"/>
        <v/>
      </c>
      <c r="AB416" s="112" t="str">
        <f t="shared" si="109"/>
        <v/>
      </c>
      <c r="AC416" s="112" t="str">
        <f t="shared" si="110"/>
        <v/>
      </c>
      <c r="AD416" s="112" t="str">
        <f t="shared" si="111"/>
        <v/>
      </c>
    </row>
    <row r="417" spans="1:30" x14ac:dyDescent="0.2">
      <c r="A417" s="112">
        <f>IF(SUM(Q417:R417)=1,1+MAX($A$1:A416),"")</f>
        <v>28</v>
      </c>
      <c r="B417" s="112" t="str">
        <f>IF(SUM(X417:Y417)=1,1+MAX($B$1:B416),"")</f>
        <v/>
      </c>
      <c r="C417" s="112" t="str">
        <f>IF(SUM(Q417:R417,X417:Y417)=2,1+MAX($C$1:C416),"")</f>
        <v/>
      </c>
      <c r="D417" s="113">
        <v>33035</v>
      </c>
      <c r="E417" s="112">
        <v>1990</v>
      </c>
      <c r="F417" s="112" t="s">
        <v>2661</v>
      </c>
      <c r="G417" s="112" t="s">
        <v>2662</v>
      </c>
      <c r="H417" s="114" t="s">
        <v>2545</v>
      </c>
      <c r="I417" s="112">
        <f t="shared" si="96"/>
        <v>1</v>
      </c>
      <c r="J417" s="112">
        <f t="shared" si="97"/>
        <v>1</v>
      </c>
      <c r="K417" s="115" t="s">
        <v>2676</v>
      </c>
      <c r="L417" s="115" t="s">
        <v>2940</v>
      </c>
      <c r="M417" s="115" t="s">
        <v>2933</v>
      </c>
      <c r="N417" s="115">
        <v>35238</v>
      </c>
      <c r="O417" s="112">
        <v>2</v>
      </c>
      <c r="P417" s="116" t="s">
        <v>2645</v>
      </c>
      <c r="Q417" s="112">
        <f t="shared" si="98"/>
        <v>1</v>
      </c>
      <c r="R417" s="112" t="str">
        <f t="shared" si="99"/>
        <v/>
      </c>
      <c r="S417" s="112">
        <f t="shared" si="102"/>
        <v>0</v>
      </c>
      <c r="T417" s="112">
        <f t="shared" si="103"/>
        <v>1</v>
      </c>
      <c r="U417" s="112">
        <f t="shared" si="104"/>
        <v>0</v>
      </c>
      <c r="V417" s="112">
        <f t="shared" si="105"/>
        <v>2</v>
      </c>
      <c r="W417" s="112">
        <f t="shared" si="106"/>
        <v>0</v>
      </c>
      <c r="X417" s="112" t="str">
        <f t="shared" si="100"/>
        <v/>
      </c>
      <c r="Y417" s="112" t="str">
        <f t="shared" si="101"/>
        <v/>
      </c>
      <c r="Z417" s="112" t="str">
        <f t="shared" si="107"/>
        <v/>
      </c>
      <c r="AA417" s="112" t="str">
        <f t="shared" si="108"/>
        <v/>
      </c>
      <c r="AB417" s="112" t="str">
        <f t="shared" si="109"/>
        <v/>
      </c>
      <c r="AC417" s="112" t="str">
        <f t="shared" si="110"/>
        <v/>
      </c>
      <c r="AD417" s="112" t="str">
        <f t="shared" si="111"/>
        <v/>
      </c>
    </row>
    <row r="418" spans="1:30" x14ac:dyDescent="0.2">
      <c r="A418" s="112" t="str">
        <f>IF(SUM(Q418:R418)=1,1+MAX($A$1:A417),"")</f>
        <v/>
      </c>
      <c r="B418" s="112" t="str">
        <f>IF(SUM(X418:Y418)=1,1+MAX($B$1:B417),"")</f>
        <v/>
      </c>
      <c r="C418" s="112" t="str">
        <f>IF(SUM(Q418:R418,X418:Y418)=2,1+MAX($C$1:C417),"")</f>
        <v/>
      </c>
      <c r="D418" s="113">
        <v>33035</v>
      </c>
      <c r="E418" s="112">
        <v>1990</v>
      </c>
      <c r="F418" s="112" t="s">
        <v>2677</v>
      </c>
      <c r="G418" s="112" t="s">
        <v>2678</v>
      </c>
      <c r="H418" s="114" t="s">
        <v>2550</v>
      </c>
      <c r="I418" s="112">
        <f t="shared" si="96"/>
        <v>1</v>
      </c>
      <c r="J418" s="112">
        <f t="shared" si="97"/>
        <v>0</v>
      </c>
      <c r="K418" s="115" t="s">
        <v>2717</v>
      </c>
      <c r="L418" s="115" t="s">
        <v>2935</v>
      </c>
      <c r="M418" s="115" t="s">
        <v>2936</v>
      </c>
      <c r="N418" s="115">
        <v>30867</v>
      </c>
      <c r="O418" s="112">
        <v>3</v>
      </c>
      <c r="P418" s="116" t="s">
        <v>2622</v>
      </c>
      <c r="Q418" s="112" t="str">
        <f t="shared" si="98"/>
        <v/>
      </c>
      <c r="R418" s="112" t="str">
        <f t="shared" si="99"/>
        <v/>
      </c>
      <c r="S418" s="112" t="str">
        <f t="shared" si="102"/>
        <v/>
      </c>
      <c r="T418" s="112" t="str">
        <f t="shared" si="103"/>
        <v/>
      </c>
      <c r="U418" s="112" t="str">
        <f t="shared" si="104"/>
        <v/>
      </c>
      <c r="V418" s="112" t="str">
        <f t="shared" si="105"/>
        <v/>
      </c>
      <c r="W418" s="112" t="str">
        <f t="shared" si="106"/>
        <v/>
      </c>
      <c r="X418" s="112" t="str">
        <f t="shared" si="100"/>
        <v/>
      </c>
      <c r="Y418" s="112" t="str">
        <f t="shared" si="101"/>
        <v/>
      </c>
      <c r="Z418" s="112" t="str">
        <f t="shared" si="107"/>
        <v/>
      </c>
      <c r="AA418" s="112" t="str">
        <f t="shared" si="108"/>
        <v/>
      </c>
      <c r="AB418" s="112" t="str">
        <f t="shared" si="109"/>
        <v/>
      </c>
      <c r="AC418" s="112" t="str">
        <f t="shared" si="110"/>
        <v/>
      </c>
      <c r="AD418" s="112" t="str">
        <f t="shared" si="111"/>
        <v/>
      </c>
    </row>
    <row r="419" spans="1:30" x14ac:dyDescent="0.2">
      <c r="A419" s="112" t="str">
        <f>IF(SUM(Q419:R419)=1,1+MAX($A$1:A418),"")</f>
        <v/>
      </c>
      <c r="B419" s="112" t="str">
        <f>IF(SUM(X419:Y419)=1,1+MAX($B$1:B418),"")</f>
        <v/>
      </c>
      <c r="C419" s="112" t="str">
        <f>IF(SUM(Q419:R419,X419:Y419)=2,1+MAX($C$1:C418),"")</f>
        <v/>
      </c>
      <c r="D419" s="113">
        <v>33034</v>
      </c>
      <c r="E419" s="112">
        <v>1990</v>
      </c>
      <c r="F419" s="112" t="s">
        <v>2672</v>
      </c>
      <c r="G419" s="112" t="s">
        <v>2673</v>
      </c>
      <c r="H419" s="114" t="s">
        <v>2547</v>
      </c>
      <c r="I419" s="112">
        <f t="shared" si="96"/>
        <v>4</v>
      </c>
      <c r="J419" s="112">
        <f t="shared" si="97"/>
        <v>1</v>
      </c>
      <c r="K419" s="115" t="s">
        <v>2862</v>
      </c>
      <c r="L419" s="115" t="s">
        <v>2927</v>
      </c>
      <c r="M419" s="115" t="s">
        <v>2903</v>
      </c>
      <c r="N419" s="115">
        <v>74765</v>
      </c>
      <c r="O419" s="112">
        <v>2</v>
      </c>
      <c r="P419" s="116" t="s">
        <v>2683</v>
      </c>
      <c r="Q419" s="112" t="str">
        <f t="shared" si="98"/>
        <v/>
      </c>
      <c r="R419" s="112" t="str">
        <f t="shared" si="99"/>
        <v/>
      </c>
      <c r="S419" s="112" t="str">
        <f t="shared" si="102"/>
        <v/>
      </c>
      <c r="T419" s="112" t="str">
        <f t="shared" si="103"/>
        <v/>
      </c>
      <c r="U419" s="112" t="str">
        <f t="shared" si="104"/>
        <v/>
      </c>
      <c r="V419" s="112" t="str">
        <f t="shared" si="105"/>
        <v/>
      </c>
      <c r="W419" s="112" t="str">
        <f t="shared" si="106"/>
        <v/>
      </c>
      <c r="X419" s="112" t="str">
        <f t="shared" si="100"/>
        <v/>
      </c>
      <c r="Y419" s="112" t="str">
        <f t="shared" si="101"/>
        <v/>
      </c>
      <c r="Z419" s="112" t="str">
        <f t="shared" si="107"/>
        <v/>
      </c>
      <c r="AA419" s="112" t="str">
        <f t="shared" si="108"/>
        <v/>
      </c>
      <c r="AB419" s="112" t="str">
        <f t="shared" si="109"/>
        <v/>
      </c>
      <c r="AC419" s="112" t="str">
        <f t="shared" si="110"/>
        <v/>
      </c>
      <c r="AD419" s="112" t="str">
        <f t="shared" si="111"/>
        <v/>
      </c>
    </row>
    <row r="420" spans="1:30" x14ac:dyDescent="0.2">
      <c r="A420" s="112" t="str">
        <f>IF(SUM(Q420:R420)=1,1+MAX($A$1:A419),"")</f>
        <v/>
      </c>
      <c r="B420" s="112" t="str">
        <f>IF(SUM(X420:Y420)=1,1+MAX($B$1:B419),"")</f>
        <v/>
      </c>
      <c r="C420" s="112" t="str">
        <f>IF(SUM(Q420:R420,X420:Y420)=2,1+MAX($C$1:C419),"")</f>
        <v/>
      </c>
      <c r="D420" s="113">
        <v>33034</v>
      </c>
      <c r="E420" s="112">
        <v>1990</v>
      </c>
      <c r="F420" s="112" t="s">
        <v>2677</v>
      </c>
      <c r="G420" s="112" t="s">
        <v>2678</v>
      </c>
      <c r="H420" s="114" t="s">
        <v>1442</v>
      </c>
      <c r="I420" s="112">
        <f t="shared" si="96"/>
        <v>2</v>
      </c>
      <c r="J420" s="112">
        <f t="shared" si="97"/>
        <v>1</v>
      </c>
      <c r="K420" s="115" t="s">
        <v>2549</v>
      </c>
      <c r="L420" s="115" t="s">
        <v>2923</v>
      </c>
      <c r="M420" s="115" t="s">
        <v>2942</v>
      </c>
      <c r="N420" s="115">
        <v>62628</v>
      </c>
      <c r="O420" s="112">
        <v>2</v>
      </c>
      <c r="P420" s="116" t="s">
        <v>2626</v>
      </c>
      <c r="Q420" s="112" t="str">
        <f t="shared" si="98"/>
        <v/>
      </c>
      <c r="R420" s="112" t="str">
        <f t="shared" si="99"/>
        <v/>
      </c>
      <c r="S420" s="112" t="str">
        <f t="shared" si="102"/>
        <v/>
      </c>
      <c r="T420" s="112" t="str">
        <f t="shared" si="103"/>
        <v/>
      </c>
      <c r="U420" s="112" t="str">
        <f t="shared" si="104"/>
        <v/>
      </c>
      <c r="V420" s="112" t="str">
        <f t="shared" si="105"/>
        <v/>
      </c>
      <c r="W420" s="112" t="str">
        <f t="shared" si="106"/>
        <v/>
      </c>
      <c r="X420" s="112" t="str">
        <f t="shared" si="100"/>
        <v/>
      </c>
      <c r="Y420" s="112" t="str">
        <f t="shared" si="101"/>
        <v/>
      </c>
      <c r="Z420" s="112" t="str">
        <f t="shared" si="107"/>
        <v/>
      </c>
      <c r="AA420" s="112" t="str">
        <f t="shared" si="108"/>
        <v/>
      </c>
      <c r="AB420" s="112" t="str">
        <f t="shared" si="109"/>
        <v/>
      </c>
      <c r="AC420" s="112" t="str">
        <f t="shared" si="110"/>
        <v/>
      </c>
      <c r="AD420" s="112" t="str">
        <f t="shared" si="111"/>
        <v/>
      </c>
    </row>
    <row r="421" spans="1:30" x14ac:dyDescent="0.2">
      <c r="A421" s="112" t="str">
        <f>IF(SUM(Q421:R421)=1,1+MAX($A$1:A420),"")</f>
        <v/>
      </c>
      <c r="B421" s="112" t="str">
        <f>IF(SUM(X421:Y421)=1,1+MAX($B$1:B420),"")</f>
        <v/>
      </c>
      <c r="C421" s="112" t="str">
        <f>IF(SUM(Q421:R421,X421:Y421)=2,1+MAX($C$1:C420),"")</f>
        <v/>
      </c>
      <c r="D421" s="113">
        <v>33034</v>
      </c>
      <c r="E421" s="112">
        <v>1990</v>
      </c>
      <c r="F421" s="112" t="s">
        <v>2689</v>
      </c>
      <c r="G421" s="112" t="s">
        <v>2690</v>
      </c>
      <c r="H421" s="114" t="s">
        <v>2648</v>
      </c>
      <c r="I421" s="112">
        <f t="shared" si="96"/>
        <v>5</v>
      </c>
      <c r="J421" s="112">
        <f t="shared" si="97"/>
        <v>1</v>
      </c>
      <c r="K421" s="115" t="s">
        <v>2614</v>
      </c>
      <c r="L421" s="115" t="s">
        <v>2930</v>
      </c>
      <c r="M421" s="115" t="s">
        <v>2908</v>
      </c>
      <c r="N421" s="115">
        <v>33266</v>
      </c>
      <c r="O421" s="112">
        <v>2</v>
      </c>
      <c r="P421" s="116" t="s">
        <v>2719</v>
      </c>
      <c r="Q421" s="112" t="str">
        <f t="shared" si="98"/>
        <v/>
      </c>
      <c r="R421" s="112" t="str">
        <f t="shared" si="99"/>
        <v/>
      </c>
      <c r="S421" s="112" t="str">
        <f t="shared" si="102"/>
        <v/>
      </c>
      <c r="T421" s="112" t="str">
        <f t="shared" si="103"/>
        <v/>
      </c>
      <c r="U421" s="112" t="str">
        <f t="shared" si="104"/>
        <v/>
      </c>
      <c r="V421" s="112" t="str">
        <f t="shared" si="105"/>
        <v/>
      </c>
      <c r="W421" s="112" t="str">
        <f t="shared" si="106"/>
        <v/>
      </c>
      <c r="X421" s="112" t="str">
        <f t="shared" si="100"/>
        <v/>
      </c>
      <c r="Y421" s="112" t="str">
        <f t="shared" si="101"/>
        <v/>
      </c>
      <c r="Z421" s="112" t="str">
        <f t="shared" si="107"/>
        <v/>
      </c>
      <c r="AA421" s="112" t="str">
        <f t="shared" si="108"/>
        <v/>
      </c>
      <c r="AB421" s="112" t="str">
        <f t="shared" si="109"/>
        <v/>
      </c>
      <c r="AC421" s="112" t="str">
        <f t="shared" si="110"/>
        <v/>
      </c>
      <c r="AD421" s="112" t="str">
        <f t="shared" si="111"/>
        <v/>
      </c>
    </row>
    <row r="422" spans="1:30" x14ac:dyDescent="0.2">
      <c r="A422" s="112" t="str">
        <f>IF(SUM(Q422:R422)=1,1+MAX($A$1:A421),"")</f>
        <v/>
      </c>
      <c r="B422" s="112" t="str">
        <f>IF(SUM(X422:Y422)=1,1+MAX($B$1:B421),"")</f>
        <v/>
      </c>
      <c r="C422" s="112" t="str">
        <f>IF(SUM(Q422:R422,X422:Y422)=2,1+MAX($C$1:C421),"")</f>
        <v/>
      </c>
      <c r="D422" s="113">
        <v>33033</v>
      </c>
      <c r="E422" s="112">
        <v>1990</v>
      </c>
      <c r="F422" s="112" t="s">
        <v>2672</v>
      </c>
      <c r="G422" s="112" t="s">
        <v>2673</v>
      </c>
      <c r="H422" s="114" t="s">
        <v>1347</v>
      </c>
      <c r="I422" s="112">
        <f t="shared" si="96"/>
        <v>2</v>
      </c>
      <c r="J422" s="112">
        <f t="shared" si="97"/>
        <v>0</v>
      </c>
      <c r="K422" s="115" t="s">
        <v>2627</v>
      </c>
      <c r="L422" s="115" t="s">
        <v>2931</v>
      </c>
      <c r="M422" s="115" t="s">
        <v>2934</v>
      </c>
      <c r="N422" s="115">
        <v>30791</v>
      </c>
      <c r="O422" s="112">
        <v>2</v>
      </c>
      <c r="P422" s="116" t="s">
        <v>2641</v>
      </c>
      <c r="Q422" s="112" t="str">
        <f t="shared" si="98"/>
        <v/>
      </c>
      <c r="R422" s="112" t="str">
        <f t="shared" si="99"/>
        <v/>
      </c>
      <c r="S422" s="112" t="str">
        <f t="shared" si="102"/>
        <v/>
      </c>
      <c r="T422" s="112" t="str">
        <f t="shared" si="103"/>
        <v/>
      </c>
      <c r="U422" s="112" t="str">
        <f t="shared" si="104"/>
        <v/>
      </c>
      <c r="V422" s="112" t="str">
        <f t="shared" si="105"/>
        <v/>
      </c>
      <c r="W422" s="112" t="str">
        <f t="shared" si="106"/>
        <v/>
      </c>
      <c r="X422" s="112" t="str">
        <f t="shared" si="100"/>
        <v/>
      </c>
      <c r="Y422" s="112" t="str">
        <f t="shared" si="101"/>
        <v/>
      </c>
      <c r="Z422" s="112" t="str">
        <f t="shared" si="107"/>
        <v/>
      </c>
      <c r="AA422" s="112" t="str">
        <f t="shared" si="108"/>
        <v/>
      </c>
      <c r="AB422" s="112" t="str">
        <f t="shared" si="109"/>
        <v/>
      </c>
      <c r="AC422" s="112" t="str">
        <f t="shared" si="110"/>
        <v/>
      </c>
      <c r="AD422" s="112" t="str">
        <f t="shared" si="111"/>
        <v/>
      </c>
    </row>
    <row r="423" spans="1:30" x14ac:dyDescent="0.2">
      <c r="A423" s="112" t="str">
        <f>IF(SUM(Q423:R423)=1,1+MAX($A$1:A422),"")</f>
        <v/>
      </c>
      <c r="B423" s="112" t="str">
        <f>IF(SUM(X423:Y423)=1,1+MAX($B$1:B422),"")</f>
        <v/>
      </c>
      <c r="C423" s="112" t="str">
        <f>IF(SUM(Q423:R423,X423:Y423)=2,1+MAX($C$1:C422),"")</f>
        <v/>
      </c>
      <c r="D423" s="113">
        <v>33033</v>
      </c>
      <c r="E423" s="112">
        <v>1990</v>
      </c>
      <c r="F423" s="112" t="s">
        <v>2684</v>
      </c>
      <c r="G423" s="112" t="s">
        <v>2685</v>
      </c>
      <c r="H423" s="114" t="s">
        <v>2711</v>
      </c>
      <c r="I423" s="112">
        <f t="shared" si="96"/>
        <v>2</v>
      </c>
      <c r="J423" s="112">
        <f t="shared" si="97"/>
        <v>0</v>
      </c>
      <c r="K423" s="115" t="s">
        <v>2720</v>
      </c>
      <c r="L423" s="115" t="s">
        <v>2922</v>
      </c>
      <c r="M423" s="115" t="s">
        <v>2956</v>
      </c>
      <c r="N423" s="115">
        <v>42907</v>
      </c>
      <c r="O423" s="112">
        <v>2</v>
      </c>
      <c r="P423" s="116" t="s">
        <v>2641</v>
      </c>
      <c r="Q423" s="112" t="str">
        <f t="shared" si="98"/>
        <v/>
      </c>
      <c r="R423" s="112" t="str">
        <f t="shared" si="99"/>
        <v/>
      </c>
      <c r="S423" s="112" t="str">
        <f t="shared" si="102"/>
        <v/>
      </c>
      <c r="T423" s="112" t="str">
        <f t="shared" si="103"/>
        <v/>
      </c>
      <c r="U423" s="112" t="str">
        <f t="shared" si="104"/>
        <v/>
      </c>
      <c r="V423" s="112" t="str">
        <f t="shared" si="105"/>
        <v/>
      </c>
      <c r="W423" s="112" t="str">
        <f t="shared" si="106"/>
        <v/>
      </c>
      <c r="X423" s="112" t="str">
        <f t="shared" si="100"/>
        <v/>
      </c>
      <c r="Y423" s="112" t="str">
        <f t="shared" si="101"/>
        <v/>
      </c>
      <c r="Z423" s="112" t="str">
        <f t="shared" si="107"/>
        <v/>
      </c>
      <c r="AA423" s="112" t="str">
        <f t="shared" si="108"/>
        <v/>
      </c>
      <c r="AB423" s="112" t="str">
        <f t="shared" si="109"/>
        <v/>
      </c>
      <c r="AC423" s="112" t="str">
        <f t="shared" si="110"/>
        <v/>
      </c>
      <c r="AD423" s="112" t="str">
        <f t="shared" si="111"/>
        <v/>
      </c>
    </row>
    <row r="424" spans="1:30" x14ac:dyDescent="0.2">
      <c r="A424" s="112" t="str">
        <f>IF(SUM(Q424:R424)=1,1+MAX($A$1:A423),"")</f>
        <v/>
      </c>
      <c r="B424" s="112" t="str">
        <f>IF(SUM(X424:Y424)=1,1+MAX($B$1:B423),"")</f>
        <v/>
      </c>
      <c r="C424" s="112" t="str">
        <f>IF(SUM(Q424:R424,X424:Y424)=2,1+MAX($C$1:C423),"")</f>
        <v/>
      </c>
      <c r="D424" s="113">
        <v>33033</v>
      </c>
      <c r="E424" s="112">
        <v>1990</v>
      </c>
      <c r="F424" s="112" t="s">
        <v>2689</v>
      </c>
      <c r="G424" s="112" t="s">
        <v>2690</v>
      </c>
      <c r="H424" s="114" t="s">
        <v>2623</v>
      </c>
      <c r="I424" s="112">
        <f t="shared" si="96"/>
        <v>0</v>
      </c>
      <c r="J424" s="112">
        <f t="shared" si="97"/>
        <v>1</v>
      </c>
      <c r="K424" s="115" t="s">
        <v>2674</v>
      </c>
      <c r="L424" s="115" t="s">
        <v>2920</v>
      </c>
      <c r="M424" s="115" t="s">
        <v>2924</v>
      </c>
      <c r="N424" s="115">
        <v>73303</v>
      </c>
      <c r="O424" s="112">
        <v>2</v>
      </c>
      <c r="P424" s="116" t="s">
        <v>2601</v>
      </c>
      <c r="Q424" s="112" t="str">
        <f t="shared" si="98"/>
        <v/>
      </c>
      <c r="R424" s="112" t="str">
        <f t="shared" si="99"/>
        <v/>
      </c>
      <c r="S424" s="112" t="str">
        <f t="shared" si="102"/>
        <v/>
      </c>
      <c r="T424" s="112" t="str">
        <f t="shared" si="103"/>
        <v/>
      </c>
      <c r="U424" s="112" t="str">
        <f t="shared" si="104"/>
        <v/>
      </c>
      <c r="V424" s="112" t="str">
        <f t="shared" si="105"/>
        <v/>
      </c>
      <c r="W424" s="112" t="str">
        <f t="shared" si="106"/>
        <v/>
      </c>
      <c r="X424" s="112" t="str">
        <f t="shared" si="100"/>
        <v/>
      </c>
      <c r="Y424" s="112" t="str">
        <f t="shared" si="101"/>
        <v/>
      </c>
      <c r="Z424" s="112" t="str">
        <f t="shared" si="107"/>
        <v/>
      </c>
      <c r="AA424" s="112" t="str">
        <f t="shared" si="108"/>
        <v/>
      </c>
      <c r="AB424" s="112" t="str">
        <f t="shared" si="109"/>
        <v/>
      </c>
      <c r="AC424" s="112" t="str">
        <f t="shared" si="110"/>
        <v/>
      </c>
      <c r="AD424" s="112" t="str">
        <f t="shared" si="111"/>
        <v/>
      </c>
    </row>
    <row r="425" spans="1:30" x14ac:dyDescent="0.2">
      <c r="A425" s="112" t="str">
        <f>IF(SUM(Q425:R425)=1,1+MAX($A$1:A424),"")</f>
        <v/>
      </c>
      <c r="B425" s="112">
        <f>IF(SUM(X425:Y425)=1,1+MAX($B$1:B424),"")</f>
        <v>36</v>
      </c>
      <c r="C425" s="112" t="str">
        <f>IF(SUM(Q425:R425,X425:Y425)=2,1+MAX($C$1:C424),"")</f>
        <v/>
      </c>
      <c r="D425" s="113">
        <v>33032</v>
      </c>
      <c r="E425" s="112">
        <v>1990</v>
      </c>
      <c r="F425" s="112" t="s">
        <v>2684</v>
      </c>
      <c r="G425" s="112" t="s">
        <v>2685</v>
      </c>
      <c r="H425" s="114" t="s">
        <v>1134</v>
      </c>
      <c r="I425" s="112">
        <f t="shared" si="96"/>
        <v>0</v>
      </c>
      <c r="J425" s="112">
        <f t="shared" si="97"/>
        <v>1</v>
      </c>
      <c r="K425" s="115" t="s">
        <v>2693</v>
      </c>
      <c r="L425" s="115" t="s">
        <v>2927</v>
      </c>
      <c r="M425" s="115" t="s">
        <v>2926</v>
      </c>
      <c r="N425" s="115">
        <v>73780</v>
      </c>
      <c r="O425" s="112">
        <v>2</v>
      </c>
      <c r="P425" s="116" t="s">
        <v>2601</v>
      </c>
      <c r="Q425" s="112" t="str">
        <f t="shared" si="98"/>
        <v/>
      </c>
      <c r="R425" s="112" t="str">
        <f t="shared" si="99"/>
        <v/>
      </c>
      <c r="S425" s="112" t="str">
        <f t="shared" si="102"/>
        <v/>
      </c>
      <c r="T425" s="112" t="str">
        <f t="shared" si="103"/>
        <v/>
      </c>
      <c r="U425" s="112" t="str">
        <f t="shared" si="104"/>
        <v/>
      </c>
      <c r="V425" s="112" t="str">
        <f t="shared" si="105"/>
        <v/>
      </c>
      <c r="W425" s="112" t="str">
        <f t="shared" si="106"/>
        <v/>
      </c>
      <c r="X425" s="112">
        <f t="shared" si="100"/>
        <v>1</v>
      </c>
      <c r="Y425" s="112" t="str">
        <f t="shared" si="101"/>
        <v/>
      </c>
      <c r="Z425" s="112">
        <f t="shared" si="107"/>
        <v>0</v>
      </c>
      <c r="AA425" s="112">
        <f t="shared" si="108"/>
        <v>0</v>
      </c>
      <c r="AB425" s="112">
        <f t="shared" si="109"/>
        <v>1</v>
      </c>
      <c r="AC425" s="112">
        <f t="shared" si="110"/>
        <v>1</v>
      </c>
      <c r="AD425" s="112">
        <f t="shared" si="111"/>
        <v>-1</v>
      </c>
    </row>
    <row r="426" spans="1:30" x14ac:dyDescent="0.2">
      <c r="A426" s="112" t="str">
        <f>IF(SUM(Q426:R426)=1,1+MAX($A$1:A425),"")</f>
        <v/>
      </c>
      <c r="B426" s="112">
        <f>IF(SUM(X426:Y426)=1,1+MAX($B$1:B425),"")</f>
        <v>37</v>
      </c>
      <c r="C426" s="112" t="str">
        <f>IF(SUM(Q426:R426,X426:Y426)=2,1+MAX($C$1:C425),"")</f>
        <v/>
      </c>
      <c r="D426" s="113">
        <v>31592</v>
      </c>
      <c r="E426" s="112">
        <v>1986</v>
      </c>
      <c r="F426" s="112" t="s">
        <v>2597</v>
      </c>
      <c r="H426" s="114" t="s">
        <v>1134</v>
      </c>
      <c r="I426" s="112">
        <f t="shared" si="96"/>
        <v>3</v>
      </c>
      <c r="J426" s="112">
        <f t="shared" si="97"/>
        <v>2</v>
      </c>
      <c r="K426" s="115" t="s">
        <v>2547</v>
      </c>
      <c r="L426" s="115" t="s">
        <v>2957</v>
      </c>
      <c r="M426" s="115" t="s">
        <v>2958</v>
      </c>
      <c r="N426" s="115">
        <v>114600</v>
      </c>
      <c r="O426" s="112">
        <v>1</v>
      </c>
      <c r="P426" s="116" t="s">
        <v>2664</v>
      </c>
      <c r="Q426" s="112" t="str">
        <f t="shared" si="98"/>
        <v/>
      </c>
      <c r="R426" s="112" t="str">
        <f t="shared" si="99"/>
        <v/>
      </c>
      <c r="S426" s="112" t="str">
        <f t="shared" si="102"/>
        <v/>
      </c>
      <c r="T426" s="112" t="str">
        <f t="shared" si="103"/>
        <v/>
      </c>
      <c r="U426" s="112" t="str">
        <f t="shared" si="104"/>
        <v/>
      </c>
      <c r="V426" s="112" t="str">
        <f t="shared" si="105"/>
        <v/>
      </c>
      <c r="W426" s="112" t="str">
        <f t="shared" si="106"/>
        <v/>
      </c>
      <c r="X426" s="112">
        <f t="shared" si="100"/>
        <v>1</v>
      </c>
      <c r="Y426" s="112" t="str">
        <f t="shared" si="101"/>
        <v/>
      </c>
      <c r="Z426" s="112">
        <f t="shared" si="107"/>
        <v>1</v>
      </c>
      <c r="AA426" s="112">
        <f t="shared" si="108"/>
        <v>0</v>
      </c>
      <c r="AB426" s="112">
        <f t="shared" si="109"/>
        <v>0</v>
      </c>
      <c r="AC426" s="112">
        <f t="shared" si="110"/>
        <v>5</v>
      </c>
      <c r="AD426" s="112">
        <f t="shared" si="111"/>
        <v>1</v>
      </c>
    </row>
    <row r="427" spans="1:30" x14ac:dyDescent="0.2">
      <c r="A427" s="112" t="str">
        <f>IF(SUM(Q427:R427)=1,1+MAX($A$1:A426),"")</f>
        <v/>
      </c>
      <c r="B427" s="112" t="str">
        <f>IF(SUM(X427:Y427)=1,1+MAX($B$1:B426),"")</f>
        <v/>
      </c>
      <c r="C427" s="112" t="str">
        <f>IF(SUM(Q427:R427,X427:Y427)=2,1+MAX($C$1:C426),"")</f>
        <v/>
      </c>
      <c r="D427" s="113">
        <v>31591</v>
      </c>
      <c r="E427" s="112">
        <v>1986</v>
      </c>
      <c r="F427" s="112" t="s">
        <v>2602</v>
      </c>
      <c r="H427" s="114" t="s">
        <v>2554</v>
      </c>
      <c r="I427" s="112">
        <f t="shared" si="96"/>
        <v>2</v>
      </c>
      <c r="J427" s="112">
        <f t="shared" si="97"/>
        <v>4</v>
      </c>
      <c r="K427" s="115" t="s">
        <v>2541</v>
      </c>
      <c r="L427" s="115" t="s">
        <v>2959</v>
      </c>
      <c r="M427" s="115" t="s">
        <v>2934</v>
      </c>
      <c r="N427" s="115">
        <v>21000</v>
      </c>
      <c r="O427" s="112">
        <v>1</v>
      </c>
      <c r="P427" s="116" t="s">
        <v>2796</v>
      </c>
      <c r="Q427" s="112" t="str">
        <f t="shared" si="98"/>
        <v/>
      </c>
      <c r="R427" s="112" t="str">
        <f t="shared" si="99"/>
        <v/>
      </c>
      <c r="S427" s="112" t="str">
        <f t="shared" si="102"/>
        <v/>
      </c>
      <c r="T427" s="112" t="str">
        <f t="shared" si="103"/>
        <v/>
      </c>
      <c r="U427" s="112" t="str">
        <f t="shared" si="104"/>
        <v/>
      </c>
      <c r="V427" s="112" t="str">
        <f t="shared" si="105"/>
        <v/>
      </c>
      <c r="W427" s="112" t="str">
        <f t="shared" si="106"/>
        <v/>
      </c>
      <c r="X427" s="112" t="str">
        <f t="shared" si="100"/>
        <v/>
      </c>
      <c r="Y427" s="112" t="str">
        <f t="shared" si="101"/>
        <v/>
      </c>
      <c r="Z427" s="112" t="str">
        <f t="shared" si="107"/>
        <v/>
      </c>
      <c r="AA427" s="112" t="str">
        <f t="shared" si="108"/>
        <v/>
      </c>
      <c r="AB427" s="112" t="str">
        <f t="shared" si="109"/>
        <v/>
      </c>
      <c r="AC427" s="112" t="str">
        <f t="shared" si="110"/>
        <v/>
      </c>
      <c r="AD427" s="112" t="str">
        <f t="shared" si="111"/>
        <v/>
      </c>
    </row>
    <row r="428" spans="1:30" x14ac:dyDescent="0.2">
      <c r="A428" s="112" t="str">
        <f>IF(SUM(Q428:R428)=1,1+MAX($A$1:A427),"")</f>
        <v/>
      </c>
      <c r="B428" s="112">
        <f>IF(SUM(X428:Y428)=1,1+MAX($B$1:B427),"")</f>
        <v>38</v>
      </c>
      <c r="C428" s="112" t="str">
        <f>IF(SUM(Q428:R428,X428:Y428)=2,1+MAX($C$1:C427),"")</f>
        <v/>
      </c>
      <c r="D428" s="113">
        <v>31588</v>
      </c>
      <c r="E428" s="112">
        <v>1986</v>
      </c>
      <c r="F428" s="112" t="s">
        <v>2609</v>
      </c>
      <c r="H428" s="114" t="s">
        <v>1134</v>
      </c>
      <c r="I428" s="112">
        <f t="shared" si="96"/>
        <v>2</v>
      </c>
      <c r="J428" s="112">
        <f t="shared" si="97"/>
        <v>0</v>
      </c>
      <c r="K428" s="115" t="s">
        <v>2554</v>
      </c>
      <c r="L428" s="115" t="s">
        <v>2957</v>
      </c>
      <c r="M428" s="115" t="s">
        <v>2960</v>
      </c>
      <c r="N428" s="115">
        <v>114500</v>
      </c>
      <c r="O428" s="112">
        <v>1</v>
      </c>
      <c r="P428" s="116" t="s">
        <v>2641</v>
      </c>
      <c r="Q428" s="112" t="str">
        <f t="shared" si="98"/>
        <v/>
      </c>
      <c r="R428" s="112" t="str">
        <f t="shared" si="99"/>
        <v/>
      </c>
      <c r="S428" s="112" t="str">
        <f t="shared" si="102"/>
        <v/>
      </c>
      <c r="T428" s="112" t="str">
        <f t="shared" si="103"/>
        <v/>
      </c>
      <c r="U428" s="112" t="str">
        <f t="shared" si="104"/>
        <v/>
      </c>
      <c r="V428" s="112" t="str">
        <f t="shared" si="105"/>
        <v/>
      </c>
      <c r="W428" s="112" t="str">
        <f t="shared" si="106"/>
        <v/>
      </c>
      <c r="X428" s="112">
        <f t="shared" si="100"/>
        <v>1</v>
      </c>
      <c r="Y428" s="112" t="str">
        <f t="shared" si="101"/>
        <v/>
      </c>
      <c r="Z428" s="112">
        <f t="shared" si="107"/>
        <v>1</v>
      </c>
      <c r="AA428" s="112">
        <f t="shared" si="108"/>
        <v>0</v>
      </c>
      <c r="AB428" s="112">
        <f t="shared" si="109"/>
        <v>0</v>
      </c>
      <c r="AC428" s="112">
        <f t="shared" si="110"/>
        <v>2</v>
      </c>
      <c r="AD428" s="112">
        <f t="shared" si="111"/>
        <v>2</v>
      </c>
    </row>
    <row r="429" spans="1:30" x14ac:dyDescent="0.2">
      <c r="A429" s="112" t="str">
        <f>IF(SUM(Q429:R429)=1,1+MAX($A$1:A428),"")</f>
        <v/>
      </c>
      <c r="B429" s="112" t="str">
        <f>IF(SUM(X429:Y429)=1,1+MAX($B$1:B428),"")</f>
        <v/>
      </c>
      <c r="C429" s="112" t="str">
        <f>IF(SUM(Q429:R429,X429:Y429)=2,1+MAX($C$1:C428),"")</f>
        <v/>
      </c>
      <c r="D429" s="113">
        <v>31588</v>
      </c>
      <c r="E429" s="112">
        <v>1986</v>
      </c>
      <c r="F429" s="112" t="s">
        <v>2609</v>
      </c>
      <c r="H429" s="114" t="s">
        <v>2541</v>
      </c>
      <c r="I429" s="112">
        <f t="shared" si="96"/>
        <v>0</v>
      </c>
      <c r="J429" s="112">
        <f t="shared" si="97"/>
        <v>2</v>
      </c>
      <c r="K429" s="115" t="s">
        <v>2547</v>
      </c>
      <c r="L429" s="115" t="s">
        <v>2961</v>
      </c>
      <c r="M429" s="115" t="s">
        <v>2951</v>
      </c>
      <c r="N429" s="115">
        <v>45000</v>
      </c>
      <c r="O429" s="112">
        <v>1</v>
      </c>
      <c r="P429" s="116" t="s">
        <v>2687</v>
      </c>
      <c r="Q429" s="112" t="str">
        <f t="shared" si="98"/>
        <v/>
      </c>
      <c r="R429" s="112" t="str">
        <f t="shared" si="99"/>
        <v/>
      </c>
      <c r="S429" s="112" t="str">
        <f t="shared" si="102"/>
        <v/>
      </c>
      <c r="T429" s="112" t="str">
        <f t="shared" si="103"/>
        <v/>
      </c>
      <c r="U429" s="112" t="str">
        <f t="shared" si="104"/>
        <v/>
      </c>
      <c r="V429" s="112" t="str">
        <f t="shared" si="105"/>
        <v/>
      </c>
      <c r="W429" s="112" t="str">
        <f t="shared" si="106"/>
        <v/>
      </c>
      <c r="X429" s="112" t="str">
        <f t="shared" si="100"/>
        <v/>
      </c>
      <c r="Y429" s="112" t="str">
        <f t="shared" si="101"/>
        <v/>
      </c>
      <c r="Z429" s="112" t="str">
        <f t="shared" si="107"/>
        <v/>
      </c>
      <c r="AA429" s="112" t="str">
        <f t="shared" si="108"/>
        <v/>
      </c>
      <c r="AB429" s="112" t="str">
        <f t="shared" si="109"/>
        <v/>
      </c>
      <c r="AC429" s="112" t="str">
        <f t="shared" si="110"/>
        <v/>
      </c>
      <c r="AD429" s="112" t="str">
        <f t="shared" si="111"/>
        <v/>
      </c>
    </row>
    <row r="430" spans="1:30" x14ac:dyDescent="0.2">
      <c r="A430" s="112" t="str">
        <f>IF(SUM(Q430:R430)=1,1+MAX($A$1:A429),"")</f>
        <v/>
      </c>
      <c r="B430" s="112" t="str">
        <f>IF(SUM(X430:Y430)=1,1+MAX($B$1:B429),"")</f>
        <v/>
      </c>
      <c r="C430" s="112" t="str">
        <f>IF(SUM(Q430:R430,X430:Y430)=2,1+MAX($C$1:C429),"")</f>
        <v/>
      </c>
      <c r="D430" s="113">
        <v>31585</v>
      </c>
      <c r="E430" s="112">
        <v>1986</v>
      </c>
      <c r="F430" s="112" t="s">
        <v>2618</v>
      </c>
      <c r="H430" s="114" t="s">
        <v>2554</v>
      </c>
      <c r="I430" s="112">
        <f t="shared" si="96"/>
        <v>1</v>
      </c>
      <c r="J430" s="112">
        <f t="shared" si="97"/>
        <v>1</v>
      </c>
      <c r="K430" s="115" t="s">
        <v>2557</v>
      </c>
      <c r="L430" s="115" t="s">
        <v>2959</v>
      </c>
      <c r="M430" s="115" t="s">
        <v>2937</v>
      </c>
      <c r="N430" s="115">
        <v>45000</v>
      </c>
      <c r="O430" s="112">
        <v>1</v>
      </c>
      <c r="P430" s="116" t="s">
        <v>2645</v>
      </c>
      <c r="Q430" s="112" t="str">
        <f t="shared" si="98"/>
        <v/>
      </c>
      <c r="R430" s="112" t="str">
        <f t="shared" si="99"/>
        <v/>
      </c>
      <c r="S430" s="112" t="str">
        <f t="shared" si="102"/>
        <v/>
      </c>
      <c r="T430" s="112" t="str">
        <f t="shared" si="103"/>
        <v/>
      </c>
      <c r="U430" s="112" t="str">
        <f t="shared" si="104"/>
        <v/>
      </c>
      <c r="V430" s="112" t="str">
        <f t="shared" si="105"/>
        <v/>
      </c>
      <c r="W430" s="112" t="str">
        <f t="shared" si="106"/>
        <v/>
      </c>
      <c r="X430" s="112" t="str">
        <f t="shared" si="100"/>
        <v/>
      </c>
      <c r="Y430" s="112" t="str">
        <f t="shared" si="101"/>
        <v/>
      </c>
      <c r="Z430" s="112" t="str">
        <f t="shared" si="107"/>
        <v/>
      </c>
      <c r="AA430" s="112" t="str">
        <f t="shared" si="108"/>
        <v/>
      </c>
      <c r="AB430" s="112" t="str">
        <f t="shared" si="109"/>
        <v/>
      </c>
      <c r="AC430" s="112" t="str">
        <f t="shared" si="110"/>
        <v/>
      </c>
      <c r="AD430" s="112" t="str">
        <f t="shared" si="111"/>
        <v/>
      </c>
    </row>
    <row r="431" spans="1:30" x14ac:dyDescent="0.2">
      <c r="A431" s="112">
        <f>IF(SUM(Q431:R431)=1,1+MAX($A$1:A430),"")</f>
        <v>29</v>
      </c>
      <c r="B431" s="112">
        <f>IF(SUM(X431:Y431)=1,1+MAX($B$1:B430),"")</f>
        <v>39</v>
      </c>
      <c r="C431" s="112">
        <f>IF(SUM(Q431:R431,X431:Y431)=2,1+MAX($C$1:C430),"")</f>
        <v>3</v>
      </c>
      <c r="D431" s="113">
        <v>31585</v>
      </c>
      <c r="E431" s="112">
        <v>1986</v>
      </c>
      <c r="F431" s="112" t="s">
        <v>2618</v>
      </c>
      <c r="H431" s="114" t="s">
        <v>1134</v>
      </c>
      <c r="I431" s="112">
        <f t="shared" si="96"/>
        <v>2</v>
      </c>
      <c r="J431" s="112">
        <f t="shared" si="97"/>
        <v>1</v>
      </c>
      <c r="K431" s="115" t="s">
        <v>2545</v>
      </c>
      <c r="L431" s="115" t="s">
        <v>2957</v>
      </c>
      <c r="M431" s="115" t="s">
        <v>2962</v>
      </c>
      <c r="N431" s="115">
        <v>114580</v>
      </c>
      <c r="O431" s="112">
        <v>1</v>
      </c>
      <c r="P431" s="116" t="s">
        <v>2626</v>
      </c>
      <c r="Q431" s="112" t="str">
        <f t="shared" si="98"/>
        <v/>
      </c>
      <c r="R431" s="112">
        <f t="shared" si="99"/>
        <v>1</v>
      </c>
      <c r="S431" s="112">
        <f t="shared" si="102"/>
        <v>0</v>
      </c>
      <c r="T431" s="112">
        <f t="shared" si="103"/>
        <v>0</v>
      </c>
      <c r="U431" s="112">
        <f t="shared" si="104"/>
        <v>1</v>
      </c>
      <c r="V431" s="112">
        <f t="shared" si="105"/>
        <v>3</v>
      </c>
      <c r="W431" s="112">
        <f t="shared" si="106"/>
        <v>-1</v>
      </c>
      <c r="X431" s="112">
        <f t="shared" si="100"/>
        <v>1</v>
      </c>
      <c r="Y431" s="112" t="str">
        <f t="shared" si="101"/>
        <v/>
      </c>
      <c r="Z431" s="112">
        <f t="shared" si="107"/>
        <v>1</v>
      </c>
      <c r="AA431" s="112">
        <f t="shared" si="108"/>
        <v>0</v>
      </c>
      <c r="AB431" s="112">
        <f t="shared" si="109"/>
        <v>0</v>
      </c>
      <c r="AC431" s="112">
        <f t="shared" si="110"/>
        <v>3</v>
      </c>
      <c r="AD431" s="112">
        <f t="shared" si="111"/>
        <v>1</v>
      </c>
    </row>
    <row r="432" spans="1:30" x14ac:dyDescent="0.2">
      <c r="A432" s="112" t="str">
        <f>IF(SUM(Q432:R432)=1,1+MAX($A$1:A431),"")</f>
        <v/>
      </c>
      <c r="B432" s="112" t="str">
        <f>IF(SUM(X432:Y432)=1,1+MAX($B$1:B431),"")</f>
        <v/>
      </c>
      <c r="C432" s="112" t="str">
        <f>IF(SUM(Q432:R432,X432:Y432)=2,1+MAX($C$1:C431),"")</f>
        <v/>
      </c>
      <c r="D432" s="113">
        <v>31584</v>
      </c>
      <c r="E432" s="112">
        <v>1986</v>
      </c>
      <c r="F432" s="112" t="s">
        <v>2618</v>
      </c>
      <c r="H432" s="114" t="s">
        <v>2547</v>
      </c>
      <c r="I432" s="112">
        <f t="shared" si="96"/>
        <v>0</v>
      </c>
      <c r="J432" s="112">
        <f t="shared" si="97"/>
        <v>0</v>
      </c>
      <c r="K432" s="115" t="s">
        <v>1061</v>
      </c>
      <c r="L432" s="115" t="s">
        <v>2963</v>
      </c>
      <c r="M432" s="115" t="s">
        <v>2964</v>
      </c>
      <c r="N432" s="115">
        <v>41700</v>
      </c>
      <c r="O432" s="112">
        <v>1</v>
      </c>
      <c r="P432" s="116" t="s">
        <v>2613</v>
      </c>
      <c r="Q432" s="112" t="str">
        <f t="shared" si="98"/>
        <v/>
      </c>
      <c r="R432" s="112" t="str">
        <f t="shared" si="99"/>
        <v/>
      </c>
      <c r="S432" s="112" t="str">
        <f t="shared" si="102"/>
        <v/>
      </c>
      <c r="T432" s="112" t="str">
        <f t="shared" si="103"/>
        <v/>
      </c>
      <c r="U432" s="112" t="str">
        <f t="shared" si="104"/>
        <v/>
      </c>
      <c r="V432" s="112" t="str">
        <f t="shared" si="105"/>
        <v/>
      </c>
      <c r="W432" s="112" t="str">
        <f t="shared" si="106"/>
        <v/>
      </c>
      <c r="X432" s="112" t="str">
        <f t="shared" si="100"/>
        <v/>
      </c>
      <c r="Y432" s="112" t="str">
        <f t="shared" si="101"/>
        <v/>
      </c>
      <c r="Z432" s="112" t="str">
        <f t="shared" si="107"/>
        <v/>
      </c>
      <c r="AA432" s="112" t="str">
        <f t="shared" si="108"/>
        <v/>
      </c>
      <c r="AB432" s="112" t="str">
        <f t="shared" si="109"/>
        <v/>
      </c>
      <c r="AC432" s="112" t="str">
        <f t="shared" si="110"/>
        <v/>
      </c>
      <c r="AD432" s="112" t="str">
        <f t="shared" si="111"/>
        <v/>
      </c>
    </row>
    <row r="433" spans="1:30" x14ac:dyDescent="0.2">
      <c r="A433" s="112" t="str">
        <f>IF(SUM(Q433:R433)=1,1+MAX($A$1:A432),"")</f>
        <v/>
      </c>
      <c r="B433" s="112" t="str">
        <f>IF(SUM(X433:Y433)=1,1+MAX($B$1:B432),"")</f>
        <v/>
      </c>
      <c r="C433" s="112" t="str">
        <f>IF(SUM(Q433:R433,X433:Y433)=2,1+MAX($C$1:C432),"")</f>
        <v/>
      </c>
      <c r="D433" s="113">
        <v>31584</v>
      </c>
      <c r="E433" s="112">
        <v>1986</v>
      </c>
      <c r="F433" s="112" t="s">
        <v>2618</v>
      </c>
      <c r="H433" s="114" t="s">
        <v>1442</v>
      </c>
      <c r="I433" s="112">
        <f t="shared" si="96"/>
        <v>1</v>
      </c>
      <c r="J433" s="112">
        <f t="shared" si="97"/>
        <v>1</v>
      </c>
      <c r="K433" s="115" t="s">
        <v>2541</v>
      </c>
      <c r="L433" s="115" t="s">
        <v>2961</v>
      </c>
      <c r="M433" s="115" t="s">
        <v>2965</v>
      </c>
      <c r="N433" s="115">
        <v>65000</v>
      </c>
      <c r="O433" s="112">
        <v>1</v>
      </c>
      <c r="P433" s="116" t="s">
        <v>2645</v>
      </c>
      <c r="Q433" s="112" t="str">
        <f t="shared" si="98"/>
        <v/>
      </c>
      <c r="R433" s="112" t="str">
        <f t="shared" si="99"/>
        <v/>
      </c>
      <c r="S433" s="112" t="str">
        <f t="shared" si="102"/>
        <v/>
      </c>
      <c r="T433" s="112" t="str">
        <f t="shared" si="103"/>
        <v/>
      </c>
      <c r="U433" s="112" t="str">
        <f t="shared" si="104"/>
        <v/>
      </c>
      <c r="V433" s="112" t="str">
        <f t="shared" si="105"/>
        <v/>
      </c>
      <c r="W433" s="112" t="str">
        <f t="shared" si="106"/>
        <v/>
      </c>
      <c r="X433" s="112" t="str">
        <f t="shared" si="100"/>
        <v/>
      </c>
      <c r="Y433" s="112" t="str">
        <f t="shared" si="101"/>
        <v/>
      </c>
      <c r="Z433" s="112" t="str">
        <f t="shared" si="107"/>
        <v/>
      </c>
      <c r="AA433" s="112" t="str">
        <f t="shared" si="108"/>
        <v/>
      </c>
      <c r="AB433" s="112" t="str">
        <f t="shared" si="109"/>
        <v/>
      </c>
      <c r="AC433" s="112" t="str">
        <f t="shared" si="110"/>
        <v/>
      </c>
      <c r="AD433" s="112" t="str">
        <f t="shared" si="111"/>
        <v/>
      </c>
    </row>
    <row r="434" spans="1:30" x14ac:dyDescent="0.2">
      <c r="A434" s="112" t="str">
        <f>IF(SUM(Q434:R434)=1,1+MAX($A$1:A433),"")</f>
        <v/>
      </c>
      <c r="B434" s="112" t="str">
        <f>IF(SUM(X434:Y434)=1,1+MAX($B$1:B433),"")</f>
        <v/>
      </c>
      <c r="C434" s="112" t="str">
        <f>IF(SUM(Q434:R434,X434:Y434)=2,1+MAX($C$1:C433),"")</f>
        <v/>
      </c>
      <c r="D434" s="113">
        <v>31581</v>
      </c>
      <c r="E434" s="112">
        <v>1986</v>
      </c>
      <c r="F434" s="112" t="s">
        <v>2629</v>
      </c>
      <c r="H434" s="114" t="s">
        <v>2548</v>
      </c>
      <c r="I434" s="112">
        <f t="shared" si="96"/>
        <v>1</v>
      </c>
      <c r="J434" s="112">
        <f t="shared" si="97"/>
        <v>5</v>
      </c>
      <c r="K434" s="115" t="s">
        <v>2557</v>
      </c>
      <c r="L434" s="115" t="s">
        <v>2966</v>
      </c>
      <c r="M434" s="115" t="s">
        <v>2967</v>
      </c>
      <c r="N434" s="115">
        <v>38500</v>
      </c>
      <c r="O434" s="112">
        <v>1</v>
      </c>
      <c r="P434" s="116" t="s">
        <v>2968</v>
      </c>
      <c r="Q434" s="112" t="str">
        <f t="shared" si="98"/>
        <v/>
      </c>
      <c r="R434" s="112" t="str">
        <f t="shared" si="99"/>
        <v/>
      </c>
      <c r="S434" s="112" t="str">
        <f t="shared" si="102"/>
        <v/>
      </c>
      <c r="T434" s="112" t="str">
        <f t="shared" si="103"/>
        <v/>
      </c>
      <c r="U434" s="112" t="str">
        <f t="shared" si="104"/>
        <v/>
      </c>
      <c r="V434" s="112" t="str">
        <f t="shared" si="105"/>
        <v/>
      </c>
      <c r="W434" s="112" t="str">
        <f t="shared" si="106"/>
        <v/>
      </c>
      <c r="X434" s="112" t="str">
        <f t="shared" si="100"/>
        <v/>
      </c>
      <c r="Y434" s="112" t="str">
        <f t="shared" si="101"/>
        <v/>
      </c>
      <c r="Z434" s="112" t="str">
        <f t="shared" si="107"/>
        <v/>
      </c>
      <c r="AA434" s="112" t="str">
        <f t="shared" si="108"/>
        <v/>
      </c>
      <c r="AB434" s="112" t="str">
        <f t="shared" si="109"/>
        <v/>
      </c>
      <c r="AC434" s="112" t="str">
        <f t="shared" si="110"/>
        <v/>
      </c>
      <c r="AD434" s="112" t="str">
        <f t="shared" si="111"/>
        <v/>
      </c>
    </row>
    <row r="435" spans="1:30" x14ac:dyDescent="0.2">
      <c r="A435" s="112">
        <f>IF(SUM(Q435:R435)=1,1+MAX($A$1:A434),"")</f>
        <v>30</v>
      </c>
      <c r="B435" s="112" t="str">
        <f>IF(SUM(X435:Y435)=1,1+MAX($B$1:B434),"")</f>
        <v/>
      </c>
      <c r="C435" s="112" t="str">
        <f>IF(SUM(Q435:R435,X435:Y435)=2,1+MAX($C$1:C434),"")</f>
        <v/>
      </c>
      <c r="D435" s="113">
        <v>31581</v>
      </c>
      <c r="E435" s="112">
        <v>1986</v>
      </c>
      <c r="F435" s="112" t="s">
        <v>2629</v>
      </c>
      <c r="H435" s="114" t="s">
        <v>2545</v>
      </c>
      <c r="I435" s="112">
        <f t="shared" si="96"/>
        <v>3</v>
      </c>
      <c r="J435" s="112">
        <f t="shared" si="97"/>
        <v>0</v>
      </c>
      <c r="K435" s="115" t="s">
        <v>2709</v>
      </c>
      <c r="L435" s="115" t="s">
        <v>2957</v>
      </c>
      <c r="M435" s="115" t="s">
        <v>2901</v>
      </c>
      <c r="N435" s="115">
        <v>98728</v>
      </c>
      <c r="O435" s="112">
        <v>2</v>
      </c>
      <c r="P435" s="116" t="s">
        <v>2713</v>
      </c>
      <c r="Q435" s="112">
        <f t="shared" si="98"/>
        <v>1</v>
      </c>
      <c r="R435" s="112" t="str">
        <f t="shared" si="99"/>
        <v/>
      </c>
      <c r="S435" s="112">
        <f t="shared" si="102"/>
        <v>1</v>
      </c>
      <c r="T435" s="112">
        <f t="shared" si="103"/>
        <v>0</v>
      </c>
      <c r="U435" s="112">
        <f t="shared" si="104"/>
        <v>0</v>
      </c>
      <c r="V435" s="112">
        <f t="shared" si="105"/>
        <v>3</v>
      </c>
      <c r="W435" s="112">
        <f t="shared" si="106"/>
        <v>3</v>
      </c>
      <c r="X435" s="112" t="str">
        <f t="shared" si="100"/>
        <v/>
      </c>
      <c r="Y435" s="112" t="str">
        <f t="shared" si="101"/>
        <v/>
      </c>
      <c r="Z435" s="112" t="str">
        <f t="shared" si="107"/>
        <v/>
      </c>
      <c r="AA435" s="112" t="str">
        <f t="shared" si="108"/>
        <v/>
      </c>
      <c r="AB435" s="112" t="str">
        <f t="shared" si="109"/>
        <v/>
      </c>
      <c r="AC435" s="112" t="str">
        <f t="shared" si="110"/>
        <v/>
      </c>
      <c r="AD435" s="112" t="str">
        <f t="shared" si="111"/>
        <v/>
      </c>
    </row>
    <row r="436" spans="1:30" x14ac:dyDescent="0.2">
      <c r="A436" s="112" t="str">
        <f>IF(SUM(Q436:R436)=1,1+MAX($A$1:A435),"")</f>
        <v/>
      </c>
      <c r="B436" s="112" t="str">
        <f>IF(SUM(X436:Y436)=1,1+MAX($B$1:B435),"")</f>
        <v/>
      </c>
      <c r="C436" s="112" t="str">
        <f>IF(SUM(Q436:R436,X436:Y436)=2,1+MAX($C$1:C435),"")</f>
        <v/>
      </c>
      <c r="D436" s="113">
        <v>31580</v>
      </c>
      <c r="E436" s="112">
        <v>1986</v>
      </c>
      <c r="F436" s="112" t="s">
        <v>2629</v>
      </c>
      <c r="H436" s="114" t="s">
        <v>2547</v>
      </c>
      <c r="I436" s="112">
        <f t="shared" si="96"/>
        <v>1</v>
      </c>
      <c r="J436" s="112">
        <f t="shared" si="97"/>
        <v>0</v>
      </c>
      <c r="K436" s="115" t="s">
        <v>2555</v>
      </c>
      <c r="L436" s="115" t="s">
        <v>2963</v>
      </c>
      <c r="N436" s="115">
        <v>19800</v>
      </c>
      <c r="O436" s="112">
        <v>1</v>
      </c>
      <c r="P436" s="116" t="s">
        <v>2622</v>
      </c>
      <c r="Q436" s="112" t="str">
        <f t="shared" si="98"/>
        <v/>
      </c>
      <c r="R436" s="112" t="str">
        <f t="shared" si="99"/>
        <v/>
      </c>
      <c r="S436" s="112" t="str">
        <f t="shared" si="102"/>
        <v/>
      </c>
      <c r="T436" s="112" t="str">
        <f t="shared" si="103"/>
        <v/>
      </c>
      <c r="U436" s="112" t="str">
        <f t="shared" si="104"/>
        <v/>
      </c>
      <c r="V436" s="112" t="str">
        <f t="shared" si="105"/>
        <v/>
      </c>
      <c r="W436" s="112" t="str">
        <f t="shared" si="106"/>
        <v/>
      </c>
      <c r="X436" s="112" t="str">
        <f t="shared" si="100"/>
        <v/>
      </c>
      <c r="Y436" s="112" t="str">
        <f t="shared" si="101"/>
        <v/>
      </c>
      <c r="Z436" s="112" t="str">
        <f t="shared" si="107"/>
        <v/>
      </c>
      <c r="AA436" s="112" t="str">
        <f t="shared" si="108"/>
        <v/>
      </c>
      <c r="AB436" s="112" t="str">
        <f t="shared" si="109"/>
        <v/>
      </c>
      <c r="AC436" s="112" t="str">
        <f t="shared" si="110"/>
        <v/>
      </c>
      <c r="AD436" s="112" t="str">
        <f t="shared" si="111"/>
        <v/>
      </c>
    </row>
    <row r="437" spans="1:30" x14ac:dyDescent="0.2">
      <c r="A437" s="112" t="str">
        <f>IF(SUM(Q437:R437)=1,1+MAX($A$1:A436),"")</f>
        <v/>
      </c>
      <c r="B437" s="112" t="str">
        <f>IF(SUM(X437:Y437)=1,1+MAX($B$1:B436),"")</f>
        <v/>
      </c>
      <c r="C437" s="112" t="str">
        <f>IF(SUM(Q437:R437,X437:Y437)=2,1+MAX($C$1:C436),"")</f>
        <v/>
      </c>
      <c r="D437" s="113">
        <v>31580</v>
      </c>
      <c r="E437" s="112">
        <v>1986</v>
      </c>
      <c r="F437" s="112" t="s">
        <v>2629</v>
      </c>
      <c r="H437" s="114" t="s">
        <v>2541</v>
      </c>
      <c r="I437" s="112">
        <f t="shared" si="96"/>
        <v>2</v>
      </c>
      <c r="J437" s="112">
        <f t="shared" si="97"/>
        <v>0</v>
      </c>
      <c r="K437" s="115" t="s">
        <v>2674</v>
      </c>
      <c r="L437" s="115" t="s">
        <v>2969</v>
      </c>
      <c r="N437" s="115">
        <v>70000</v>
      </c>
      <c r="O437" s="112">
        <v>1</v>
      </c>
      <c r="P437" s="116" t="s">
        <v>2641</v>
      </c>
      <c r="Q437" s="112" t="str">
        <f t="shared" si="98"/>
        <v/>
      </c>
      <c r="R437" s="112" t="str">
        <f t="shared" si="99"/>
        <v/>
      </c>
      <c r="S437" s="112" t="str">
        <f t="shared" si="102"/>
        <v/>
      </c>
      <c r="T437" s="112" t="str">
        <f t="shared" si="103"/>
        <v/>
      </c>
      <c r="U437" s="112" t="str">
        <f t="shared" si="104"/>
        <v/>
      </c>
      <c r="V437" s="112" t="str">
        <f t="shared" si="105"/>
        <v/>
      </c>
      <c r="W437" s="112" t="str">
        <f t="shared" si="106"/>
        <v/>
      </c>
      <c r="X437" s="112" t="str">
        <f t="shared" si="100"/>
        <v/>
      </c>
      <c r="Y437" s="112" t="str">
        <f t="shared" si="101"/>
        <v/>
      </c>
      <c r="Z437" s="112" t="str">
        <f t="shared" si="107"/>
        <v/>
      </c>
      <c r="AA437" s="112" t="str">
        <f t="shared" si="108"/>
        <v/>
      </c>
      <c r="AB437" s="112" t="str">
        <f t="shared" si="109"/>
        <v/>
      </c>
      <c r="AC437" s="112" t="str">
        <f t="shared" si="110"/>
        <v/>
      </c>
      <c r="AD437" s="112" t="str">
        <f t="shared" si="111"/>
        <v/>
      </c>
    </row>
    <row r="438" spans="1:30" x14ac:dyDescent="0.2">
      <c r="A438" s="112" t="str">
        <f>IF(SUM(Q438:R438)=1,1+MAX($A$1:A437),"")</f>
        <v/>
      </c>
      <c r="B438" s="112">
        <f>IF(SUM(X438:Y438)=1,1+MAX($B$1:B437),"")</f>
        <v>40</v>
      </c>
      <c r="C438" s="112" t="str">
        <f>IF(SUM(Q438:R438,X438:Y438)=2,1+MAX($C$1:C437),"")</f>
        <v/>
      </c>
      <c r="D438" s="113">
        <v>31579</v>
      </c>
      <c r="E438" s="112">
        <v>1986</v>
      </c>
      <c r="F438" s="112" t="s">
        <v>2629</v>
      </c>
      <c r="H438" s="114" t="s">
        <v>1134</v>
      </c>
      <c r="I438" s="112">
        <f t="shared" si="96"/>
        <v>1</v>
      </c>
      <c r="J438" s="112">
        <f t="shared" si="97"/>
        <v>0</v>
      </c>
      <c r="K438" s="115" t="s">
        <v>2540</v>
      </c>
      <c r="L438" s="115" t="s">
        <v>2959</v>
      </c>
      <c r="M438" s="115" t="s">
        <v>2951</v>
      </c>
      <c r="N438" s="115">
        <v>26000</v>
      </c>
      <c r="O438" s="112">
        <v>2</v>
      </c>
      <c r="P438" s="116" t="s">
        <v>2622</v>
      </c>
      <c r="Q438" s="112" t="str">
        <f t="shared" si="98"/>
        <v/>
      </c>
      <c r="R438" s="112" t="str">
        <f t="shared" si="99"/>
        <v/>
      </c>
      <c r="S438" s="112" t="str">
        <f t="shared" si="102"/>
        <v/>
      </c>
      <c r="T438" s="112" t="str">
        <f t="shared" si="103"/>
        <v/>
      </c>
      <c r="U438" s="112" t="str">
        <f t="shared" si="104"/>
        <v/>
      </c>
      <c r="V438" s="112" t="str">
        <f t="shared" si="105"/>
        <v/>
      </c>
      <c r="W438" s="112" t="str">
        <f t="shared" si="106"/>
        <v/>
      </c>
      <c r="X438" s="112">
        <f t="shared" si="100"/>
        <v>1</v>
      </c>
      <c r="Y438" s="112" t="str">
        <f t="shared" si="101"/>
        <v/>
      </c>
      <c r="Z438" s="112">
        <f t="shared" si="107"/>
        <v>1</v>
      </c>
      <c r="AA438" s="112">
        <f t="shared" si="108"/>
        <v>0</v>
      </c>
      <c r="AB438" s="112">
        <f t="shared" si="109"/>
        <v>0</v>
      </c>
      <c r="AC438" s="112">
        <f t="shared" si="110"/>
        <v>1</v>
      </c>
      <c r="AD438" s="112">
        <f t="shared" si="111"/>
        <v>1</v>
      </c>
    </row>
    <row r="439" spans="1:30" x14ac:dyDescent="0.2">
      <c r="A439" s="112" t="str">
        <f>IF(SUM(Q439:R439)=1,1+MAX($A$1:A438),"")</f>
        <v/>
      </c>
      <c r="B439" s="112" t="str">
        <f>IF(SUM(X439:Y439)=1,1+MAX($B$1:B438),"")</f>
        <v/>
      </c>
      <c r="C439" s="112" t="str">
        <f>IF(SUM(Q439:R439,X439:Y439)=2,1+MAX($C$1:C438),"")</f>
        <v/>
      </c>
      <c r="D439" s="113">
        <v>31579</v>
      </c>
      <c r="E439" s="112">
        <v>1986</v>
      </c>
      <c r="F439" s="112" t="s">
        <v>2629</v>
      </c>
      <c r="H439" s="114" t="s">
        <v>1442</v>
      </c>
      <c r="I439" s="112">
        <f t="shared" si="96"/>
        <v>4</v>
      </c>
      <c r="J439" s="112">
        <f t="shared" si="97"/>
        <v>0</v>
      </c>
      <c r="K439" s="115" t="s">
        <v>2544</v>
      </c>
      <c r="L439" s="115" t="s">
        <v>2961</v>
      </c>
      <c r="M439" s="115" t="s">
        <v>2970</v>
      </c>
      <c r="N439" s="115">
        <v>45000</v>
      </c>
      <c r="O439" s="112">
        <v>1</v>
      </c>
      <c r="P439" s="116" t="s">
        <v>2710</v>
      </c>
      <c r="Q439" s="112" t="str">
        <f t="shared" si="98"/>
        <v/>
      </c>
      <c r="R439" s="112" t="str">
        <f t="shared" si="99"/>
        <v/>
      </c>
      <c r="S439" s="112" t="str">
        <f t="shared" si="102"/>
        <v/>
      </c>
      <c r="T439" s="112" t="str">
        <f t="shared" si="103"/>
        <v/>
      </c>
      <c r="U439" s="112" t="str">
        <f t="shared" si="104"/>
        <v/>
      </c>
      <c r="V439" s="112" t="str">
        <f t="shared" si="105"/>
        <v/>
      </c>
      <c r="W439" s="112" t="str">
        <f t="shared" si="106"/>
        <v/>
      </c>
      <c r="X439" s="112" t="str">
        <f t="shared" si="100"/>
        <v/>
      </c>
      <c r="Y439" s="112" t="str">
        <f t="shared" si="101"/>
        <v/>
      </c>
      <c r="Z439" s="112" t="str">
        <f t="shared" si="107"/>
        <v/>
      </c>
      <c r="AA439" s="112" t="str">
        <f t="shared" si="108"/>
        <v/>
      </c>
      <c r="AB439" s="112" t="str">
        <f t="shared" si="109"/>
        <v/>
      </c>
      <c r="AC439" s="112" t="str">
        <f t="shared" si="110"/>
        <v/>
      </c>
      <c r="AD439" s="112" t="str">
        <f t="shared" si="111"/>
        <v/>
      </c>
    </row>
    <row r="440" spans="1:30" x14ac:dyDescent="0.2">
      <c r="A440" s="112" t="str">
        <f>IF(SUM(Q440:R440)=1,1+MAX($A$1:A439),"")</f>
        <v/>
      </c>
      <c r="B440" s="112" t="str">
        <f>IF(SUM(X440:Y440)=1,1+MAX($B$1:B439),"")</f>
        <v/>
      </c>
      <c r="C440" s="112" t="str">
        <f>IF(SUM(Q440:R440,X440:Y440)=2,1+MAX($C$1:C439),"")</f>
        <v/>
      </c>
      <c r="D440" s="113">
        <v>31578</v>
      </c>
      <c r="E440" s="112">
        <v>1986</v>
      </c>
      <c r="F440" s="112" t="s">
        <v>2629</v>
      </c>
      <c r="H440" s="114" t="s">
        <v>2554</v>
      </c>
      <c r="I440" s="112">
        <f t="shared" si="96"/>
        <v>4</v>
      </c>
      <c r="J440" s="112">
        <f t="shared" si="97"/>
        <v>3</v>
      </c>
      <c r="K440" s="115" t="s">
        <v>2720</v>
      </c>
      <c r="L440" s="115" t="s">
        <v>2971</v>
      </c>
      <c r="M440" s="115" t="s">
        <v>2953</v>
      </c>
      <c r="N440" s="115">
        <v>32277</v>
      </c>
      <c r="O440" s="112">
        <v>1</v>
      </c>
      <c r="P440" s="116" t="s">
        <v>2972</v>
      </c>
      <c r="Q440" s="112" t="str">
        <f t="shared" si="98"/>
        <v/>
      </c>
      <c r="R440" s="112" t="str">
        <f t="shared" si="99"/>
        <v/>
      </c>
      <c r="S440" s="112" t="str">
        <f t="shared" si="102"/>
        <v/>
      </c>
      <c r="T440" s="112" t="str">
        <f t="shared" si="103"/>
        <v/>
      </c>
      <c r="U440" s="112" t="str">
        <f t="shared" si="104"/>
        <v/>
      </c>
      <c r="V440" s="112" t="str">
        <f t="shared" si="105"/>
        <v/>
      </c>
      <c r="W440" s="112" t="str">
        <f t="shared" si="106"/>
        <v/>
      </c>
      <c r="X440" s="112" t="str">
        <f t="shared" si="100"/>
        <v/>
      </c>
      <c r="Y440" s="112" t="str">
        <f t="shared" si="101"/>
        <v/>
      </c>
      <c r="Z440" s="112" t="str">
        <f t="shared" si="107"/>
        <v/>
      </c>
      <c r="AA440" s="112" t="str">
        <f t="shared" si="108"/>
        <v/>
      </c>
      <c r="AB440" s="112" t="str">
        <f t="shared" si="109"/>
        <v/>
      </c>
      <c r="AC440" s="112" t="str">
        <f t="shared" si="110"/>
        <v/>
      </c>
      <c r="AD440" s="112" t="str">
        <f t="shared" si="111"/>
        <v/>
      </c>
    </row>
    <row r="441" spans="1:30" x14ac:dyDescent="0.2">
      <c r="A441" s="112" t="str">
        <f>IF(SUM(Q441:R441)=1,1+MAX($A$1:A440),"")</f>
        <v/>
      </c>
      <c r="B441" s="112" t="str">
        <f>IF(SUM(X441:Y441)=1,1+MAX($B$1:B440),"")</f>
        <v/>
      </c>
      <c r="C441" s="112" t="str">
        <f>IF(SUM(Q441:R441,X441:Y441)=2,1+MAX($C$1:C440),"")</f>
        <v/>
      </c>
      <c r="D441" s="113">
        <v>31578</v>
      </c>
      <c r="E441" s="112">
        <v>1986</v>
      </c>
      <c r="F441" s="112" t="s">
        <v>2629</v>
      </c>
      <c r="H441" s="114" t="s">
        <v>2631</v>
      </c>
      <c r="I441" s="112">
        <f t="shared" si="96"/>
        <v>0</v>
      </c>
      <c r="J441" s="112">
        <f t="shared" si="97"/>
        <v>2</v>
      </c>
      <c r="K441" s="115" t="s">
        <v>1061</v>
      </c>
      <c r="L441" s="115" t="s">
        <v>2957</v>
      </c>
      <c r="M441" s="115" t="s">
        <v>2958</v>
      </c>
      <c r="N441" s="115">
        <v>114580</v>
      </c>
      <c r="O441" s="112">
        <v>1</v>
      </c>
      <c r="P441" s="116" t="s">
        <v>2687</v>
      </c>
      <c r="Q441" s="112" t="str">
        <f t="shared" si="98"/>
        <v/>
      </c>
      <c r="R441" s="112" t="str">
        <f t="shared" si="99"/>
        <v/>
      </c>
      <c r="S441" s="112" t="str">
        <f t="shared" si="102"/>
        <v/>
      </c>
      <c r="T441" s="112" t="str">
        <f t="shared" si="103"/>
        <v/>
      </c>
      <c r="U441" s="112" t="str">
        <f t="shared" si="104"/>
        <v/>
      </c>
      <c r="V441" s="112" t="str">
        <f t="shared" si="105"/>
        <v/>
      </c>
      <c r="W441" s="112" t="str">
        <f t="shared" si="106"/>
        <v/>
      </c>
      <c r="X441" s="112" t="str">
        <f t="shared" si="100"/>
        <v/>
      </c>
      <c r="Y441" s="112" t="str">
        <f t="shared" si="101"/>
        <v/>
      </c>
      <c r="Z441" s="112" t="str">
        <f t="shared" si="107"/>
        <v/>
      </c>
      <c r="AA441" s="112" t="str">
        <f t="shared" si="108"/>
        <v/>
      </c>
      <c r="AB441" s="112" t="str">
        <f t="shared" si="109"/>
        <v/>
      </c>
      <c r="AC441" s="112" t="str">
        <f t="shared" si="110"/>
        <v/>
      </c>
      <c r="AD441" s="112" t="str">
        <f t="shared" si="111"/>
        <v/>
      </c>
    </row>
    <row r="442" spans="1:30" x14ac:dyDescent="0.2">
      <c r="A442" s="112" t="str">
        <f>IF(SUM(Q442:R442)=1,1+MAX($A$1:A441),"")</f>
        <v/>
      </c>
      <c r="B442" s="112" t="str">
        <f>IF(SUM(X442:Y442)=1,1+MAX($B$1:B441),"")</f>
        <v/>
      </c>
      <c r="C442" s="112" t="str">
        <f>IF(SUM(Q442:R442,X442:Y442)=2,1+MAX($C$1:C441),"")</f>
        <v/>
      </c>
      <c r="D442" s="113">
        <v>31576</v>
      </c>
      <c r="E442" s="112">
        <v>1986</v>
      </c>
      <c r="F442" s="112" t="s">
        <v>2666</v>
      </c>
      <c r="G442" s="112" t="s">
        <v>2667</v>
      </c>
      <c r="H442" s="114" t="s">
        <v>2717</v>
      </c>
      <c r="I442" s="112">
        <f t="shared" si="96"/>
        <v>0</v>
      </c>
      <c r="J442" s="112">
        <f t="shared" si="97"/>
        <v>0</v>
      </c>
      <c r="K442" s="115" t="s">
        <v>2540</v>
      </c>
      <c r="L442" s="115" t="s">
        <v>2973</v>
      </c>
      <c r="M442" s="115" t="s">
        <v>2895</v>
      </c>
      <c r="N442" s="115">
        <v>20000</v>
      </c>
      <c r="O442" s="112">
        <v>2</v>
      </c>
      <c r="P442" s="116" t="s">
        <v>2613</v>
      </c>
      <c r="Q442" s="112" t="str">
        <f t="shared" si="98"/>
        <v/>
      </c>
      <c r="R442" s="112" t="str">
        <f t="shared" si="99"/>
        <v/>
      </c>
      <c r="S442" s="112" t="str">
        <f t="shared" si="102"/>
        <v/>
      </c>
      <c r="T442" s="112" t="str">
        <f t="shared" si="103"/>
        <v/>
      </c>
      <c r="U442" s="112" t="str">
        <f t="shared" si="104"/>
        <v/>
      </c>
      <c r="V442" s="112" t="str">
        <f t="shared" si="105"/>
        <v/>
      </c>
      <c r="W442" s="112" t="str">
        <f t="shared" si="106"/>
        <v/>
      </c>
      <c r="X442" s="112" t="str">
        <f t="shared" si="100"/>
        <v/>
      </c>
      <c r="Y442" s="112" t="str">
        <f t="shared" si="101"/>
        <v/>
      </c>
      <c r="Z442" s="112" t="str">
        <f t="shared" si="107"/>
        <v/>
      </c>
      <c r="AA442" s="112" t="str">
        <f t="shared" si="108"/>
        <v/>
      </c>
      <c r="AB442" s="112" t="str">
        <f t="shared" si="109"/>
        <v/>
      </c>
      <c r="AC442" s="112" t="str">
        <f t="shared" si="110"/>
        <v/>
      </c>
      <c r="AD442" s="112" t="str">
        <f t="shared" si="111"/>
        <v/>
      </c>
    </row>
    <row r="443" spans="1:30" x14ac:dyDescent="0.2">
      <c r="A443" s="112" t="str">
        <f>IF(SUM(Q443:R443)=1,1+MAX($A$1:A442),"")</f>
        <v/>
      </c>
      <c r="B443" s="112" t="str">
        <f>IF(SUM(X443:Y443)=1,1+MAX($B$1:B442),"")</f>
        <v/>
      </c>
      <c r="C443" s="112" t="str">
        <f>IF(SUM(Q443:R443,X443:Y443)=2,1+MAX($C$1:C442),"")</f>
        <v/>
      </c>
      <c r="D443" s="113">
        <v>31576</v>
      </c>
      <c r="E443" s="112">
        <v>1986</v>
      </c>
      <c r="F443" s="112" t="s">
        <v>2666</v>
      </c>
      <c r="G443" s="112" t="s">
        <v>2667</v>
      </c>
      <c r="H443" s="114" t="s">
        <v>2548</v>
      </c>
      <c r="I443" s="112">
        <f t="shared" si="96"/>
        <v>2</v>
      </c>
      <c r="J443" s="112">
        <f t="shared" si="97"/>
        <v>0</v>
      </c>
      <c r="K443" s="115" t="s">
        <v>2547</v>
      </c>
      <c r="L443" s="115" t="s">
        <v>2966</v>
      </c>
      <c r="M443" s="115" t="s">
        <v>2974</v>
      </c>
      <c r="N443" s="115">
        <v>36000</v>
      </c>
      <c r="O443" s="112">
        <v>1</v>
      </c>
      <c r="P443" s="116" t="s">
        <v>2641</v>
      </c>
      <c r="Q443" s="112" t="str">
        <f t="shared" si="98"/>
        <v/>
      </c>
      <c r="R443" s="112" t="str">
        <f t="shared" si="99"/>
        <v/>
      </c>
      <c r="S443" s="112" t="str">
        <f t="shared" si="102"/>
        <v/>
      </c>
      <c r="T443" s="112" t="str">
        <f t="shared" si="103"/>
        <v/>
      </c>
      <c r="U443" s="112" t="str">
        <f t="shared" si="104"/>
        <v/>
      </c>
      <c r="V443" s="112" t="str">
        <f t="shared" si="105"/>
        <v/>
      </c>
      <c r="W443" s="112" t="str">
        <f t="shared" si="106"/>
        <v/>
      </c>
      <c r="X443" s="112" t="str">
        <f t="shared" si="100"/>
        <v/>
      </c>
      <c r="Y443" s="112" t="str">
        <f t="shared" si="101"/>
        <v/>
      </c>
      <c r="Z443" s="112" t="str">
        <f t="shared" si="107"/>
        <v/>
      </c>
      <c r="AA443" s="112" t="str">
        <f t="shared" si="108"/>
        <v/>
      </c>
      <c r="AB443" s="112" t="str">
        <f t="shared" si="109"/>
        <v/>
      </c>
      <c r="AC443" s="112" t="str">
        <f t="shared" si="110"/>
        <v/>
      </c>
      <c r="AD443" s="112" t="str">
        <f t="shared" si="111"/>
        <v/>
      </c>
    </row>
    <row r="444" spans="1:30" x14ac:dyDescent="0.2">
      <c r="A444" s="112" t="str">
        <f>IF(SUM(Q444:R444)=1,1+MAX($A$1:A443),"")</f>
        <v/>
      </c>
      <c r="B444" s="112" t="str">
        <f>IF(SUM(X444:Y444)=1,1+MAX($B$1:B443),"")</f>
        <v/>
      </c>
      <c r="C444" s="112" t="str">
        <f>IF(SUM(Q444:R444,X444:Y444)=2,1+MAX($C$1:C443),"")</f>
        <v/>
      </c>
      <c r="D444" s="113">
        <v>31575</v>
      </c>
      <c r="E444" s="112">
        <v>1986</v>
      </c>
      <c r="F444" s="112" t="s">
        <v>2672</v>
      </c>
      <c r="G444" s="112" t="s">
        <v>2673</v>
      </c>
      <c r="H444" s="114" t="s">
        <v>2635</v>
      </c>
      <c r="I444" s="112">
        <f t="shared" si="96"/>
        <v>0</v>
      </c>
      <c r="J444" s="112">
        <f t="shared" si="97"/>
        <v>3</v>
      </c>
      <c r="K444" s="115" t="s">
        <v>2557</v>
      </c>
      <c r="L444" s="115" t="s">
        <v>2975</v>
      </c>
      <c r="M444" s="115" t="s">
        <v>2944</v>
      </c>
      <c r="N444" s="115">
        <v>23980</v>
      </c>
      <c r="O444" s="112">
        <v>1</v>
      </c>
      <c r="P444" s="116" t="s">
        <v>2607</v>
      </c>
      <c r="Q444" s="112" t="str">
        <f t="shared" si="98"/>
        <v/>
      </c>
      <c r="R444" s="112" t="str">
        <f t="shared" si="99"/>
        <v/>
      </c>
      <c r="S444" s="112" t="str">
        <f t="shared" si="102"/>
        <v/>
      </c>
      <c r="T444" s="112" t="str">
        <f t="shared" si="103"/>
        <v/>
      </c>
      <c r="U444" s="112" t="str">
        <f t="shared" si="104"/>
        <v/>
      </c>
      <c r="V444" s="112" t="str">
        <f t="shared" si="105"/>
        <v/>
      </c>
      <c r="W444" s="112" t="str">
        <f t="shared" si="106"/>
        <v/>
      </c>
      <c r="X444" s="112" t="str">
        <f t="shared" si="100"/>
        <v/>
      </c>
      <c r="Y444" s="112" t="str">
        <f t="shared" si="101"/>
        <v/>
      </c>
      <c r="Z444" s="112" t="str">
        <f t="shared" si="107"/>
        <v/>
      </c>
      <c r="AA444" s="112" t="str">
        <f t="shared" si="108"/>
        <v/>
      </c>
      <c r="AB444" s="112" t="str">
        <f t="shared" si="109"/>
        <v/>
      </c>
      <c r="AC444" s="112" t="str">
        <f t="shared" si="110"/>
        <v/>
      </c>
      <c r="AD444" s="112" t="str">
        <f t="shared" si="111"/>
        <v/>
      </c>
    </row>
    <row r="445" spans="1:30" x14ac:dyDescent="0.2">
      <c r="A445" s="112" t="str">
        <f>IF(SUM(Q445:R445)=1,1+MAX($A$1:A444),"")</f>
        <v/>
      </c>
      <c r="B445" s="112" t="str">
        <f>IF(SUM(X445:Y445)=1,1+MAX($B$1:B444),"")</f>
        <v/>
      </c>
      <c r="C445" s="112" t="str">
        <f>IF(SUM(Q445:R445,X445:Y445)=2,1+MAX($C$1:C444),"")</f>
        <v/>
      </c>
      <c r="D445" s="113">
        <v>31575</v>
      </c>
      <c r="E445" s="112">
        <v>1986</v>
      </c>
      <c r="F445" s="112" t="s">
        <v>2672</v>
      </c>
      <c r="G445" s="112" t="s">
        <v>2673</v>
      </c>
      <c r="H445" s="114" t="s">
        <v>1442</v>
      </c>
      <c r="I445" s="112">
        <f t="shared" si="96"/>
        <v>3</v>
      </c>
      <c r="J445" s="112">
        <f t="shared" si="97"/>
        <v>0</v>
      </c>
      <c r="K445" s="115" t="s">
        <v>2715</v>
      </c>
      <c r="L445" s="115" t="s">
        <v>2961</v>
      </c>
      <c r="M445" s="115" t="s">
        <v>2937</v>
      </c>
      <c r="N445" s="115">
        <v>51000</v>
      </c>
      <c r="O445" s="112">
        <v>1</v>
      </c>
      <c r="P445" s="116" t="s">
        <v>2713</v>
      </c>
      <c r="Q445" s="112" t="str">
        <f t="shared" si="98"/>
        <v/>
      </c>
      <c r="R445" s="112" t="str">
        <f t="shared" si="99"/>
        <v/>
      </c>
      <c r="S445" s="112" t="str">
        <f t="shared" si="102"/>
        <v/>
      </c>
      <c r="T445" s="112" t="str">
        <f t="shared" si="103"/>
        <v/>
      </c>
      <c r="U445" s="112" t="str">
        <f t="shared" si="104"/>
        <v/>
      </c>
      <c r="V445" s="112" t="str">
        <f t="shared" si="105"/>
        <v/>
      </c>
      <c r="W445" s="112" t="str">
        <f t="shared" si="106"/>
        <v/>
      </c>
      <c r="X445" s="112" t="str">
        <f t="shared" si="100"/>
        <v/>
      </c>
      <c r="Y445" s="112" t="str">
        <f t="shared" si="101"/>
        <v/>
      </c>
      <c r="Z445" s="112" t="str">
        <f t="shared" si="107"/>
        <v/>
      </c>
      <c r="AA445" s="112" t="str">
        <f t="shared" si="108"/>
        <v/>
      </c>
      <c r="AB445" s="112" t="str">
        <f t="shared" si="109"/>
        <v/>
      </c>
      <c r="AC445" s="112" t="str">
        <f t="shared" si="110"/>
        <v/>
      </c>
      <c r="AD445" s="112" t="str">
        <f t="shared" si="111"/>
        <v/>
      </c>
    </row>
    <row r="446" spans="1:30" x14ac:dyDescent="0.2">
      <c r="A446" s="112" t="str">
        <f>IF(SUM(Q446:R446)=1,1+MAX($A$1:A445),"")</f>
        <v/>
      </c>
      <c r="B446" s="112" t="str">
        <f>IF(SUM(X446:Y446)=1,1+MAX($B$1:B445),"")</f>
        <v/>
      </c>
      <c r="C446" s="112" t="str">
        <f>IF(SUM(Q446:R446,X446:Y446)=2,1+MAX($C$1:C445),"")</f>
        <v/>
      </c>
      <c r="D446" s="113">
        <v>31574</v>
      </c>
      <c r="E446" s="112">
        <v>1986</v>
      </c>
      <c r="F446" s="112" t="s">
        <v>2661</v>
      </c>
      <c r="G446" s="112" t="s">
        <v>2662</v>
      </c>
      <c r="H446" s="114" t="s">
        <v>2555</v>
      </c>
      <c r="I446" s="112">
        <f t="shared" si="96"/>
        <v>3</v>
      </c>
      <c r="J446" s="112">
        <f t="shared" si="97"/>
        <v>1</v>
      </c>
      <c r="K446" s="115" t="s">
        <v>2556</v>
      </c>
      <c r="L446" s="115" t="s">
        <v>2976</v>
      </c>
      <c r="M446" s="115" t="s">
        <v>2945</v>
      </c>
      <c r="N446" s="115">
        <v>28000</v>
      </c>
      <c r="O446" s="112">
        <v>1</v>
      </c>
      <c r="P446" s="116" t="s">
        <v>2663</v>
      </c>
      <c r="Q446" s="112" t="str">
        <f t="shared" si="98"/>
        <v/>
      </c>
      <c r="R446" s="112" t="str">
        <f t="shared" si="99"/>
        <v/>
      </c>
      <c r="S446" s="112" t="str">
        <f t="shared" si="102"/>
        <v/>
      </c>
      <c r="T446" s="112" t="str">
        <f t="shared" si="103"/>
        <v/>
      </c>
      <c r="U446" s="112" t="str">
        <f t="shared" si="104"/>
        <v/>
      </c>
      <c r="V446" s="112" t="str">
        <f t="shared" si="105"/>
        <v/>
      </c>
      <c r="W446" s="112" t="str">
        <f t="shared" si="106"/>
        <v/>
      </c>
      <c r="X446" s="112" t="str">
        <f t="shared" si="100"/>
        <v/>
      </c>
      <c r="Y446" s="112" t="str">
        <f t="shared" si="101"/>
        <v/>
      </c>
      <c r="Z446" s="112" t="str">
        <f t="shared" si="107"/>
        <v/>
      </c>
      <c r="AA446" s="112" t="str">
        <f t="shared" si="108"/>
        <v/>
      </c>
      <c r="AB446" s="112" t="str">
        <f t="shared" si="109"/>
        <v/>
      </c>
      <c r="AC446" s="112" t="str">
        <f t="shared" si="110"/>
        <v/>
      </c>
      <c r="AD446" s="112" t="str">
        <f t="shared" si="111"/>
        <v/>
      </c>
    </row>
    <row r="447" spans="1:30" x14ac:dyDescent="0.2">
      <c r="A447" s="112">
        <f>IF(SUM(Q447:R447)=1,1+MAX($A$1:A446),"")</f>
        <v>31</v>
      </c>
      <c r="B447" s="112" t="str">
        <f>IF(SUM(X447:Y447)=1,1+MAX($B$1:B446),"")</f>
        <v/>
      </c>
      <c r="C447" s="112" t="str">
        <f>IF(SUM(Q447:R447,X447:Y447)=2,1+MAX($C$1:C446),"")</f>
        <v/>
      </c>
      <c r="D447" s="113">
        <v>31574</v>
      </c>
      <c r="E447" s="112">
        <v>1986</v>
      </c>
      <c r="F447" s="112" t="s">
        <v>2661</v>
      </c>
      <c r="G447" s="112" t="s">
        <v>2662</v>
      </c>
      <c r="H447" s="114" t="s">
        <v>2545</v>
      </c>
      <c r="I447" s="112">
        <f t="shared" si="96"/>
        <v>3</v>
      </c>
      <c r="J447" s="112">
        <f t="shared" si="97"/>
        <v>0</v>
      </c>
      <c r="K447" s="115" t="s">
        <v>2544</v>
      </c>
      <c r="L447" s="115" t="s">
        <v>2963</v>
      </c>
      <c r="M447" s="115" t="s">
        <v>2977</v>
      </c>
      <c r="N447" s="115">
        <v>22700</v>
      </c>
      <c r="O447" s="112">
        <v>1</v>
      </c>
      <c r="P447" s="116" t="s">
        <v>2713</v>
      </c>
      <c r="Q447" s="112">
        <f t="shared" si="98"/>
        <v>1</v>
      </c>
      <c r="R447" s="112" t="str">
        <f t="shared" si="99"/>
        <v/>
      </c>
      <c r="S447" s="112">
        <f t="shared" si="102"/>
        <v>1</v>
      </c>
      <c r="T447" s="112">
        <f t="shared" si="103"/>
        <v>0</v>
      </c>
      <c r="U447" s="112">
        <f t="shared" si="104"/>
        <v>0</v>
      </c>
      <c r="V447" s="112">
        <f t="shared" si="105"/>
        <v>3</v>
      </c>
      <c r="W447" s="112">
        <f t="shared" si="106"/>
        <v>3</v>
      </c>
      <c r="X447" s="112" t="str">
        <f t="shared" si="100"/>
        <v/>
      </c>
      <c r="Y447" s="112" t="str">
        <f t="shared" si="101"/>
        <v/>
      </c>
      <c r="Z447" s="112" t="str">
        <f t="shared" si="107"/>
        <v/>
      </c>
      <c r="AA447" s="112" t="str">
        <f t="shared" si="108"/>
        <v/>
      </c>
      <c r="AB447" s="112" t="str">
        <f t="shared" si="109"/>
        <v/>
      </c>
      <c r="AC447" s="112" t="str">
        <f t="shared" si="110"/>
        <v/>
      </c>
      <c r="AD447" s="112" t="str">
        <f t="shared" si="111"/>
        <v/>
      </c>
    </row>
    <row r="448" spans="1:30" x14ac:dyDescent="0.2">
      <c r="A448" s="112" t="str">
        <f>IF(SUM(Q448:R448)=1,1+MAX($A$1:A447),"")</f>
        <v/>
      </c>
      <c r="B448" s="112" t="str">
        <f>IF(SUM(X448:Y448)=1,1+MAX($B$1:B447),"")</f>
        <v/>
      </c>
      <c r="C448" s="112" t="str">
        <f>IF(SUM(Q448:R448,X448:Y448)=2,1+MAX($C$1:C447),"")</f>
        <v/>
      </c>
      <c r="D448" s="113">
        <v>31574</v>
      </c>
      <c r="E448" s="112">
        <v>1986</v>
      </c>
      <c r="F448" s="112" t="s">
        <v>2684</v>
      </c>
      <c r="G448" s="112" t="s">
        <v>2685</v>
      </c>
      <c r="H448" s="114" t="s">
        <v>2681</v>
      </c>
      <c r="I448" s="112">
        <f t="shared" si="96"/>
        <v>0</v>
      </c>
      <c r="J448" s="112">
        <f t="shared" si="97"/>
        <v>1</v>
      </c>
      <c r="K448" s="115" t="s">
        <v>1061</v>
      </c>
      <c r="L448" s="115" t="s">
        <v>2957</v>
      </c>
      <c r="M448" s="115" t="s">
        <v>2943</v>
      </c>
      <c r="N448" s="115">
        <v>103763</v>
      </c>
      <c r="O448" s="112">
        <v>1</v>
      </c>
      <c r="P448" s="116" t="s">
        <v>2601</v>
      </c>
      <c r="Q448" s="112" t="str">
        <f t="shared" si="98"/>
        <v/>
      </c>
      <c r="R448" s="112" t="str">
        <f t="shared" si="99"/>
        <v/>
      </c>
      <c r="S448" s="112" t="str">
        <f t="shared" si="102"/>
        <v/>
      </c>
      <c r="T448" s="112" t="str">
        <f t="shared" si="103"/>
        <v/>
      </c>
      <c r="U448" s="112" t="str">
        <f t="shared" si="104"/>
        <v/>
      </c>
      <c r="V448" s="112" t="str">
        <f t="shared" si="105"/>
        <v/>
      </c>
      <c r="W448" s="112" t="str">
        <f t="shared" si="106"/>
        <v/>
      </c>
      <c r="X448" s="112" t="str">
        <f t="shared" si="100"/>
        <v/>
      </c>
      <c r="Y448" s="112" t="str">
        <f t="shared" si="101"/>
        <v/>
      </c>
      <c r="Z448" s="112" t="str">
        <f t="shared" si="107"/>
        <v/>
      </c>
      <c r="AA448" s="112" t="str">
        <f t="shared" si="108"/>
        <v/>
      </c>
      <c r="AB448" s="112" t="str">
        <f t="shared" si="109"/>
        <v/>
      </c>
      <c r="AC448" s="112" t="str">
        <f t="shared" si="110"/>
        <v/>
      </c>
      <c r="AD448" s="112" t="str">
        <f t="shared" si="111"/>
        <v/>
      </c>
    </row>
    <row r="449" spans="1:30" x14ac:dyDescent="0.2">
      <c r="A449" s="112" t="str">
        <f>IF(SUM(Q449:R449)=1,1+MAX($A$1:A448),"")</f>
        <v/>
      </c>
      <c r="B449" s="112" t="str">
        <f>IF(SUM(X449:Y449)=1,1+MAX($B$1:B448),"")</f>
        <v/>
      </c>
      <c r="C449" s="112" t="str">
        <f>IF(SUM(Q449:R449,X449:Y449)=2,1+MAX($C$1:C448),"")</f>
        <v/>
      </c>
      <c r="D449" s="113">
        <v>31574</v>
      </c>
      <c r="E449" s="112">
        <v>1986</v>
      </c>
      <c r="F449" s="112" t="s">
        <v>2684</v>
      </c>
      <c r="G449" s="112" t="s">
        <v>2685</v>
      </c>
      <c r="H449" s="114" t="s">
        <v>2554</v>
      </c>
      <c r="I449" s="112">
        <f t="shared" si="96"/>
        <v>2</v>
      </c>
      <c r="J449" s="112">
        <f t="shared" si="97"/>
        <v>2</v>
      </c>
      <c r="K449" s="115" t="s">
        <v>2709</v>
      </c>
      <c r="L449" s="115" t="s">
        <v>2978</v>
      </c>
      <c r="M449" s="115" t="s">
        <v>2979</v>
      </c>
      <c r="N449" s="115">
        <v>16000</v>
      </c>
      <c r="O449" s="112">
        <v>2</v>
      </c>
      <c r="P449" s="116" t="s">
        <v>2697</v>
      </c>
      <c r="Q449" s="112" t="str">
        <f t="shared" si="98"/>
        <v/>
      </c>
      <c r="R449" s="112" t="str">
        <f t="shared" si="99"/>
        <v/>
      </c>
      <c r="S449" s="112" t="str">
        <f t="shared" si="102"/>
        <v/>
      </c>
      <c r="T449" s="112" t="str">
        <f t="shared" si="103"/>
        <v/>
      </c>
      <c r="U449" s="112" t="str">
        <f t="shared" si="104"/>
        <v/>
      </c>
      <c r="V449" s="112" t="str">
        <f t="shared" si="105"/>
        <v/>
      </c>
      <c r="W449" s="112" t="str">
        <f t="shared" si="106"/>
        <v/>
      </c>
      <c r="X449" s="112" t="str">
        <f t="shared" si="100"/>
        <v/>
      </c>
      <c r="Y449" s="112" t="str">
        <f t="shared" si="101"/>
        <v/>
      </c>
      <c r="Z449" s="112" t="str">
        <f t="shared" si="107"/>
        <v/>
      </c>
      <c r="AA449" s="112" t="str">
        <f t="shared" si="108"/>
        <v/>
      </c>
      <c r="AB449" s="112" t="str">
        <f t="shared" si="109"/>
        <v/>
      </c>
      <c r="AC449" s="112" t="str">
        <f t="shared" si="110"/>
        <v/>
      </c>
      <c r="AD449" s="112" t="str">
        <f t="shared" si="111"/>
        <v/>
      </c>
    </row>
    <row r="450" spans="1:30" x14ac:dyDescent="0.2">
      <c r="A450" s="112" t="str">
        <f>IF(SUM(Q450:R450)=1,1+MAX($A$1:A449),"")</f>
        <v/>
      </c>
      <c r="B450" s="112">
        <f>IF(SUM(X450:Y450)=1,1+MAX($B$1:B449),"")</f>
        <v>41</v>
      </c>
      <c r="C450" s="112" t="str">
        <f>IF(SUM(Q450:R450,X450:Y450)=2,1+MAX($C$1:C449),"")</f>
        <v/>
      </c>
      <c r="D450" s="113">
        <v>31573</v>
      </c>
      <c r="E450" s="112">
        <v>1986</v>
      </c>
      <c r="F450" s="112" t="s">
        <v>2689</v>
      </c>
      <c r="G450" s="112" t="s">
        <v>2690</v>
      </c>
      <c r="H450" s="114" t="s">
        <v>1134</v>
      </c>
      <c r="I450" s="112">
        <f t="shared" ref="I450:I513" si="112">INT(LEFT(P450,FIND("-",P450)-1))</f>
        <v>2</v>
      </c>
      <c r="J450" s="112">
        <f t="shared" ref="J450:J513" si="113">INT(RIGHT(P450,LEN(P450)-FIND("-",P450)-1))</f>
        <v>0</v>
      </c>
      <c r="K450" s="115" t="s">
        <v>2631</v>
      </c>
      <c r="L450" s="115" t="s">
        <v>2969</v>
      </c>
      <c r="M450" s="115" t="s">
        <v>2980</v>
      </c>
      <c r="N450" s="115">
        <v>65000</v>
      </c>
      <c r="O450" s="112">
        <v>1</v>
      </c>
      <c r="P450" s="116" t="s">
        <v>2641</v>
      </c>
      <c r="Q450" s="112" t="str">
        <f t="shared" ref="Q450:Q513" si="114">IF(H450=team1,1,"")</f>
        <v/>
      </c>
      <c r="R450" s="112" t="str">
        <f t="shared" ref="R450:R513" si="115">IF(K450=team1,1,"")</f>
        <v/>
      </c>
      <c r="S450" s="112" t="str">
        <f t="shared" si="102"/>
        <v/>
      </c>
      <c r="T450" s="112" t="str">
        <f t="shared" si="103"/>
        <v/>
      </c>
      <c r="U450" s="112" t="str">
        <f t="shared" si="104"/>
        <v/>
      </c>
      <c r="V450" s="112" t="str">
        <f t="shared" si="105"/>
        <v/>
      </c>
      <c r="W450" s="112" t="str">
        <f t="shared" si="106"/>
        <v/>
      </c>
      <c r="X450" s="112">
        <f t="shared" ref="X450:X513" si="116">IF(H450=team2,1,"")</f>
        <v>1</v>
      </c>
      <c r="Y450" s="112" t="str">
        <f t="shared" ref="Y450:Y513" si="117">IF(K450=team2,1,"")</f>
        <v/>
      </c>
      <c r="Z450" s="112">
        <f t="shared" si="107"/>
        <v>1</v>
      </c>
      <c r="AA450" s="112">
        <f t="shared" si="108"/>
        <v>0</v>
      </c>
      <c r="AB450" s="112">
        <f t="shared" si="109"/>
        <v>0</v>
      </c>
      <c r="AC450" s="112">
        <f t="shared" si="110"/>
        <v>2</v>
      </c>
      <c r="AD450" s="112">
        <f t="shared" si="111"/>
        <v>2</v>
      </c>
    </row>
    <row r="451" spans="1:30" x14ac:dyDescent="0.2">
      <c r="A451" s="112" t="str">
        <f>IF(SUM(Q451:R451)=1,1+MAX($A$1:A450),"")</f>
        <v/>
      </c>
      <c r="B451" s="112" t="str">
        <f>IF(SUM(X451:Y451)=1,1+MAX($B$1:B450),"")</f>
        <v/>
      </c>
      <c r="C451" s="112" t="str">
        <f>IF(SUM(Q451:R451,X451:Y451)=2,1+MAX($C$1:C450),"")</f>
        <v/>
      </c>
      <c r="D451" s="113">
        <v>31573</v>
      </c>
      <c r="E451" s="112">
        <v>1986</v>
      </c>
      <c r="F451" s="112" t="s">
        <v>2689</v>
      </c>
      <c r="G451" s="112" t="s">
        <v>2690</v>
      </c>
      <c r="H451" s="114" t="s">
        <v>2674</v>
      </c>
      <c r="I451" s="112">
        <f t="shared" si="112"/>
        <v>3</v>
      </c>
      <c r="J451" s="112">
        <f t="shared" si="113"/>
        <v>2</v>
      </c>
      <c r="K451" s="115" t="s">
        <v>2543</v>
      </c>
      <c r="L451" s="115" t="s">
        <v>2959</v>
      </c>
      <c r="M451" s="115" t="s">
        <v>2981</v>
      </c>
      <c r="N451" s="115">
        <v>20000</v>
      </c>
      <c r="O451" s="112">
        <v>1</v>
      </c>
      <c r="P451" s="116" t="s">
        <v>2664</v>
      </c>
      <c r="Q451" s="112" t="str">
        <f t="shared" si="114"/>
        <v/>
      </c>
      <c r="R451" s="112" t="str">
        <f t="shared" si="115"/>
        <v/>
      </c>
      <c r="S451" s="112" t="str">
        <f t="shared" ref="S451:S514" si="118">IF(Q451=1,IF($I451&gt;$J451,1,0),IF(R451=1,IF($I451&lt;$J451,1,0),""))</f>
        <v/>
      </c>
      <c r="T451" s="112" t="str">
        <f t="shared" ref="T451:T514" si="119">IF(Q451=1,IF($I451=$J451,1,0),IF(R451=1,IF($I451=$J451,1,0),""))</f>
        <v/>
      </c>
      <c r="U451" s="112" t="str">
        <f t="shared" ref="U451:U514" si="120">IF(Q451=1,IF($I451&lt;$J451,1,0),IF(R451=1,IF($I451&gt;$J451,1,0),""))</f>
        <v/>
      </c>
      <c r="V451" s="112" t="str">
        <f t="shared" ref="V451:V514" si="121">IF(SUM(Q451:R451)=1,$I451+$J451,"")</f>
        <v/>
      </c>
      <c r="W451" s="112" t="str">
        <f t="shared" ref="W451:W514" si="122">IF(Q451=1,$I451-$J451,IF(R451=1,-($I451-$J451),""))</f>
        <v/>
      </c>
      <c r="X451" s="112" t="str">
        <f t="shared" si="116"/>
        <v/>
      </c>
      <c r="Y451" s="112" t="str">
        <f t="shared" si="117"/>
        <v/>
      </c>
      <c r="Z451" s="112" t="str">
        <f t="shared" ref="Z451:Z514" si="123">IF(X451=1,IF($I451&gt;$J451,1,0),IF(Y451=1,IF($I451&lt;$J451,1,0),""))</f>
        <v/>
      </c>
      <c r="AA451" s="112" t="str">
        <f t="shared" ref="AA451:AA514" si="124">IF(X451=1,IF($I451=$J451,1,0),IF(Y451=1,IF($I451=$J451,1,0),""))</f>
        <v/>
      </c>
      <c r="AB451" s="112" t="str">
        <f t="shared" ref="AB451:AB514" si="125">IF(X451=1,IF($I451&lt;$J451,1,0),IF(Y451=1,IF($I451&gt;$J451,1,0),""))</f>
        <v/>
      </c>
      <c r="AC451" s="112" t="str">
        <f t="shared" ref="AC451:AC514" si="126">IF(SUM(X451:Y451)=1,$I451+$J451,"")</f>
        <v/>
      </c>
      <c r="AD451" s="112" t="str">
        <f t="shared" ref="AD451:AD514" si="127">IF(X451=1,$I451-$J451,IF(Y451=1,-($I451-$J451),""))</f>
        <v/>
      </c>
    </row>
    <row r="452" spans="1:30" x14ac:dyDescent="0.2">
      <c r="A452" s="112" t="str">
        <f>IF(SUM(Q452:R452)=1,1+MAX($A$1:A451),"")</f>
        <v/>
      </c>
      <c r="B452" s="112" t="str">
        <f>IF(SUM(X452:Y452)=1,1+MAX($B$1:B451),"")</f>
        <v/>
      </c>
      <c r="C452" s="112" t="str">
        <f>IF(SUM(Q452:R452,X452:Y452)=2,1+MAX($C$1:C451),"")</f>
        <v/>
      </c>
      <c r="D452" s="113">
        <v>31572</v>
      </c>
      <c r="E452" s="112">
        <v>1986</v>
      </c>
      <c r="F452" s="112" t="s">
        <v>2677</v>
      </c>
      <c r="G452" s="112" t="s">
        <v>2678</v>
      </c>
      <c r="H452" s="114" t="s">
        <v>2698</v>
      </c>
      <c r="I452" s="112">
        <f t="shared" si="112"/>
        <v>0</v>
      </c>
      <c r="J452" s="112">
        <f t="shared" si="113"/>
        <v>2</v>
      </c>
      <c r="K452" s="115" t="s">
        <v>2720</v>
      </c>
      <c r="L452" s="115" t="s">
        <v>2982</v>
      </c>
      <c r="M452" s="115" t="s">
        <v>2983</v>
      </c>
      <c r="N452" s="115">
        <v>14200</v>
      </c>
      <c r="O452" s="112">
        <v>2</v>
      </c>
      <c r="P452" s="116" t="s">
        <v>2687</v>
      </c>
      <c r="Q452" s="112" t="str">
        <f t="shared" si="114"/>
        <v/>
      </c>
      <c r="R452" s="112" t="str">
        <f t="shared" si="115"/>
        <v/>
      </c>
      <c r="S452" s="112" t="str">
        <f t="shared" si="118"/>
        <v/>
      </c>
      <c r="T452" s="112" t="str">
        <f t="shared" si="119"/>
        <v/>
      </c>
      <c r="U452" s="112" t="str">
        <f t="shared" si="120"/>
        <v/>
      </c>
      <c r="V452" s="112" t="str">
        <f t="shared" si="121"/>
        <v/>
      </c>
      <c r="W452" s="112" t="str">
        <f t="shared" si="122"/>
        <v/>
      </c>
      <c r="X452" s="112" t="str">
        <f t="shared" si="116"/>
        <v/>
      </c>
      <c r="Y452" s="112" t="str">
        <f t="shared" si="117"/>
        <v/>
      </c>
      <c r="Z452" s="112" t="str">
        <f t="shared" si="123"/>
        <v/>
      </c>
      <c r="AA452" s="112" t="str">
        <f t="shared" si="124"/>
        <v/>
      </c>
      <c r="AB452" s="112" t="str">
        <f t="shared" si="125"/>
        <v/>
      </c>
      <c r="AC452" s="112" t="str">
        <f t="shared" si="126"/>
        <v/>
      </c>
      <c r="AD452" s="112" t="str">
        <f t="shared" si="127"/>
        <v/>
      </c>
    </row>
    <row r="453" spans="1:30" x14ac:dyDescent="0.2">
      <c r="A453" s="112" t="str">
        <f>IF(SUM(Q453:R453)=1,1+MAX($A$1:A452),"")</f>
        <v/>
      </c>
      <c r="B453" s="112" t="str">
        <f>IF(SUM(X453:Y453)=1,1+MAX($B$1:B452),"")</f>
        <v/>
      </c>
      <c r="C453" s="112" t="str">
        <f>IF(SUM(Q453:R453,X453:Y453)=2,1+MAX($C$1:C452),"")</f>
        <v/>
      </c>
      <c r="D453" s="113">
        <v>31572</v>
      </c>
      <c r="E453" s="112">
        <v>1986</v>
      </c>
      <c r="F453" s="112" t="s">
        <v>2677</v>
      </c>
      <c r="G453" s="112" t="s">
        <v>2678</v>
      </c>
      <c r="H453" s="114" t="s">
        <v>2541</v>
      </c>
      <c r="I453" s="112">
        <f t="shared" si="112"/>
        <v>3</v>
      </c>
      <c r="J453" s="112">
        <f t="shared" si="113"/>
        <v>0</v>
      </c>
      <c r="K453" s="115" t="s">
        <v>2725</v>
      </c>
      <c r="L453" s="115" t="s">
        <v>2971</v>
      </c>
      <c r="M453" s="115" t="s">
        <v>2929</v>
      </c>
      <c r="N453" s="115">
        <v>31420</v>
      </c>
      <c r="O453" s="112">
        <v>1</v>
      </c>
      <c r="P453" s="116" t="s">
        <v>2713</v>
      </c>
      <c r="Q453" s="112" t="str">
        <f t="shared" si="114"/>
        <v/>
      </c>
      <c r="R453" s="112" t="str">
        <f t="shared" si="115"/>
        <v/>
      </c>
      <c r="S453" s="112" t="str">
        <f t="shared" si="118"/>
        <v/>
      </c>
      <c r="T453" s="112" t="str">
        <f t="shared" si="119"/>
        <v/>
      </c>
      <c r="U453" s="112" t="str">
        <f t="shared" si="120"/>
        <v/>
      </c>
      <c r="V453" s="112" t="str">
        <f t="shared" si="121"/>
        <v/>
      </c>
      <c r="W453" s="112" t="str">
        <f t="shared" si="122"/>
        <v/>
      </c>
      <c r="X453" s="112" t="str">
        <f t="shared" si="116"/>
        <v/>
      </c>
      <c r="Y453" s="112" t="str">
        <f t="shared" si="117"/>
        <v/>
      </c>
      <c r="Z453" s="112" t="str">
        <f t="shared" si="123"/>
        <v/>
      </c>
      <c r="AA453" s="112" t="str">
        <f t="shared" si="124"/>
        <v/>
      </c>
      <c r="AB453" s="112" t="str">
        <f t="shared" si="125"/>
        <v/>
      </c>
      <c r="AC453" s="112" t="str">
        <f t="shared" si="126"/>
        <v/>
      </c>
      <c r="AD453" s="112" t="str">
        <f t="shared" si="127"/>
        <v/>
      </c>
    </row>
    <row r="454" spans="1:30" x14ac:dyDescent="0.2">
      <c r="A454" s="112" t="str">
        <f>IF(SUM(Q454:R454)=1,1+MAX($A$1:A453),"")</f>
        <v/>
      </c>
      <c r="B454" s="112" t="str">
        <f>IF(SUM(X454:Y454)=1,1+MAX($B$1:B453),"")</f>
        <v/>
      </c>
      <c r="C454" s="112" t="str">
        <f>IF(SUM(Q454:R454,X454:Y454)=2,1+MAX($C$1:C453),"")</f>
        <v/>
      </c>
      <c r="D454" s="113">
        <v>31571</v>
      </c>
      <c r="E454" s="112">
        <v>1986</v>
      </c>
      <c r="F454" s="112" t="s">
        <v>2666</v>
      </c>
      <c r="G454" s="112" t="s">
        <v>2667</v>
      </c>
      <c r="H454" s="114" t="s">
        <v>2548</v>
      </c>
      <c r="I454" s="112">
        <f t="shared" si="112"/>
        <v>6</v>
      </c>
      <c r="J454" s="112">
        <f t="shared" si="113"/>
        <v>1</v>
      </c>
      <c r="K454" s="115" t="s">
        <v>2540</v>
      </c>
      <c r="L454" s="115" t="s">
        <v>2973</v>
      </c>
      <c r="M454" s="115" t="s">
        <v>2960</v>
      </c>
      <c r="N454" s="115">
        <v>26500</v>
      </c>
      <c r="O454" s="112">
        <v>2</v>
      </c>
      <c r="P454" s="116" t="s">
        <v>2984</v>
      </c>
      <c r="Q454" s="112" t="str">
        <f t="shared" si="114"/>
        <v/>
      </c>
      <c r="R454" s="112" t="str">
        <f t="shared" si="115"/>
        <v/>
      </c>
      <c r="S454" s="112" t="str">
        <f t="shared" si="118"/>
        <v/>
      </c>
      <c r="T454" s="112" t="str">
        <f t="shared" si="119"/>
        <v/>
      </c>
      <c r="U454" s="112" t="str">
        <f t="shared" si="120"/>
        <v/>
      </c>
      <c r="V454" s="112" t="str">
        <f t="shared" si="121"/>
        <v/>
      </c>
      <c r="W454" s="112" t="str">
        <f t="shared" si="122"/>
        <v/>
      </c>
      <c r="X454" s="112" t="str">
        <f t="shared" si="116"/>
        <v/>
      </c>
      <c r="Y454" s="112" t="str">
        <f t="shared" si="117"/>
        <v/>
      </c>
      <c r="Z454" s="112" t="str">
        <f t="shared" si="123"/>
        <v/>
      </c>
      <c r="AA454" s="112" t="str">
        <f t="shared" si="124"/>
        <v/>
      </c>
      <c r="AB454" s="112" t="str">
        <f t="shared" si="125"/>
        <v/>
      </c>
      <c r="AC454" s="112" t="str">
        <f t="shared" si="126"/>
        <v/>
      </c>
      <c r="AD454" s="112" t="str">
        <f t="shared" si="127"/>
        <v/>
      </c>
    </row>
    <row r="455" spans="1:30" x14ac:dyDescent="0.2">
      <c r="A455" s="112" t="str">
        <f>IF(SUM(Q455:R455)=1,1+MAX($A$1:A454),"")</f>
        <v/>
      </c>
      <c r="B455" s="112" t="str">
        <f>IF(SUM(X455:Y455)=1,1+MAX($B$1:B454),"")</f>
        <v/>
      </c>
      <c r="C455" s="112" t="str">
        <f>IF(SUM(Q455:R455,X455:Y455)=2,1+MAX($C$1:C454),"")</f>
        <v/>
      </c>
      <c r="D455" s="113">
        <v>31571</v>
      </c>
      <c r="E455" s="112">
        <v>1986</v>
      </c>
      <c r="F455" s="112" t="s">
        <v>2666</v>
      </c>
      <c r="G455" s="112" t="s">
        <v>2667</v>
      </c>
      <c r="H455" s="114" t="s">
        <v>2547</v>
      </c>
      <c r="I455" s="112">
        <f t="shared" si="112"/>
        <v>2</v>
      </c>
      <c r="J455" s="112">
        <f t="shared" si="113"/>
        <v>1</v>
      </c>
      <c r="K455" s="115" t="s">
        <v>2717</v>
      </c>
      <c r="L455" s="115" t="s">
        <v>2966</v>
      </c>
      <c r="M455" s="115" t="s">
        <v>2965</v>
      </c>
      <c r="N455" s="115">
        <v>30000</v>
      </c>
      <c r="O455" s="112">
        <v>1</v>
      </c>
      <c r="P455" s="116" t="s">
        <v>2626</v>
      </c>
      <c r="Q455" s="112" t="str">
        <f t="shared" si="114"/>
        <v/>
      </c>
      <c r="R455" s="112" t="str">
        <f t="shared" si="115"/>
        <v/>
      </c>
      <c r="S455" s="112" t="str">
        <f t="shared" si="118"/>
        <v/>
      </c>
      <c r="T455" s="112" t="str">
        <f t="shared" si="119"/>
        <v/>
      </c>
      <c r="U455" s="112" t="str">
        <f t="shared" si="120"/>
        <v/>
      </c>
      <c r="V455" s="112" t="str">
        <f t="shared" si="121"/>
        <v/>
      </c>
      <c r="W455" s="112" t="str">
        <f t="shared" si="122"/>
        <v/>
      </c>
      <c r="X455" s="112" t="str">
        <f t="shared" si="116"/>
        <v/>
      </c>
      <c r="Y455" s="112" t="str">
        <f t="shared" si="117"/>
        <v/>
      </c>
      <c r="Z455" s="112" t="str">
        <f t="shared" si="123"/>
        <v/>
      </c>
      <c r="AA455" s="112" t="str">
        <f t="shared" si="124"/>
        <v/>
      </c>
      <c r="AB455" s="112" t="str">
        <f t="shared" si="125"/>
        <v/>
      </c>
      <c r="AC455" s="112" t="str">
        <f t="shared" si="126"/>
        <v/>
      </c>
      <c r="AD455" s="112" t="str">
        <f t="shared" si="127"/>
        <v/>
      </c>
    </row>
    <row r="456" spans="1:30" x14ac:dyDescent="0.2">
      <c r="A456" s="112" t="str">
        <f>IF(SUM(Q456:R456)=1,1+MAX($A$1:A455),"")</f>
        <v/>
      </c>
      <c r="B456" s="112" t="str">
        <f>IF(SUM(X456:Y456)=1,1+MAX($B$1:B455),"")</f>
        <v/>
      </c>
      <c r="C456" s="112" t="str">
        <f>IF(SUM(Q456:R456,X456:Y456)=2,1+MAX($C$1:C455),"")</f>
        <v/>
      </c>
      <c r="D456" s="113">
        <v>31571</v>
      </c>
      <c r="E456" s="112">
        <v>1986</v>
      </c>
      <c r="F456" s="112" t="s">
        <v>2684</v>
      </c>
      <c r="G456" s="112" t="s">
        <v>2685</v>
      </c>
      <c r="H456" s="114" t="s">
        <v>2554</v>
      </c>
      <c r="I456" s="112">
        <f t="shared" si="112"/>
        <v>2</v>
      </c>
      <c r="J456" s="112">
        <f t="shared" si="113"/>
        <v>1</v>
      </c>
      <c r="K456" s="115" t="s">
        <v>2681</v>
      </c>
      <c r="L456" s="115" t="s">
        <v>2978</v>
      </c>
      <c r="M456" s="115" t="s">
        <v>2964</v>
      </c>
      <c r="N456" s="115">
        <v>20000</v>
      </c>
      <c r="O456" s="112">
        <v>1</v>
      </c>
      <c r="P456" s="116" t="s">
        <v>2626</v>
      </c>
      <c r="Q456" s="112" t="str">
        <f t="shared" si="114"/>
        <v/>
      </c>
      <c r="R456" s="112" t="str">
        <f t="shared" si="115"/>
        <v/>
      </c>
      <c r="S456" s="112" t="str">
        <f t="shared" si="118"/>
        <v/>
      </c>
      <c r="T456" s="112" t="str">
        <f t="shared" si="119"/>
        <v/>
      </c>
      <c r="U456" s="112" t="str">
        <f t="shared" si="120"/>
        <v/>
      </c>
      <c r="V456" s="112" t="str">
        <f t="shared" si="121"/>
        <v/>
      </c>
      <c r="W456" s="112" t="str">
        <f t="shared" si="122"/>
        <v/>
      </c>
      <c r="X456" s="112" t="str">
        <f t="shared" si="116"/>
        <v/>
      </c>
      <c r="Y456" s="112" t="str">
        <f t="shared" si="117"/>
        <v/>
      </c>
      <c r="Z456" s="112" t="str">
        <f t="shared" si="123"/>
        <v/>
      </c>
      <c r="AA456" s="112" t="str">
        <f t="shared" si="124"/>
        <v/>
      </c>
      <c r="AB456" s="112" t="str">
        <f t="shared" si="125"/>
        <v/>
      </c>
      <c r="AC456" s="112" t="str">
        <f t="shared" si="126"/>
        <v/>
      </c>
      <c r="AD456" s="112" t="str">
        <f t="shared" si="127"/>
        <v/>
      </c>
    </row>
    <row r="457" spans="1:30" x14ac:dyDescent="0.2">
      <c r="A457" s="112" t="str">
        <f>IF(SUM(Q457:R457)=1,1+MAX($A$1:A456),"")</f>
        <v/>
      </c>
      <c r="B457" s="112" t="str">
        <f>IF(SUM(X457:Y457)=1,1+MAX($B$1:B456),"")</f>
        <v/>
      </c>
      <c r="C457" s="112" t="str">
        <f>IF(SUM(Q457:R457,X457:Y457)=2,1+MAX($C$1:C456),"")</f>
        <v/>
      </c>
      <c r="D457" s="113">
        <v>31570</v>
      </c>
      <c r="E457" s="112">
        <v>1986</v>
      </c>
      <c r="F457" s="112" t="s">
        <v>2661</v>
      </c>
      <c r="G457" s="112" t="s">
        <v>2662</v>
      </c>
      <c r="H457" s="114" t="s">
        <v>2544</v>
      </c>
      <c r="I457" s="112">
        <f t="shared" si="112"/>
        <v>1</v>
      </c>
      <c r="J457" s="112">
        <f t="shared" si="113"/>
        <v>0</v>
      </c>
      <c r="K457" s="115" t="s">
        <v>2556</v>
      </c>
      <c r="L457" s="115" t="s">
        <v>2963</v>
      </c>
      <c r="M457" s="115" t="s">
        <v>2985</v>
      </c>
      <c r="N457" s="115">
        <v>19915</v>
      </c>
      <c r="O457" s="112">
        <v>1</v>
      </c>
      <c r="P457" s="116" t="s">
        <v>2622</v>
      </c>
      <c r="Q457" s="112" t="str">
        <f t="shared" si="114"/>
        <v/>
      </c>
      <c r="R457" s="112" t="str">
        <f t="shared" si="115"/>
        <v/>
      </c>
      <c r="S457" s="112" t="str">
        <f t="shared" si="118"/>
        <v/>
      </c>
      <c r="T457" s="112" t="str">
        <f t="shared" si="119"/>
        <v/>
      </c>
      <c r="U457" s="112" t="str">
        <f t="shared" si="120"/>
        <v/>
      </c>
      <c r="V457" s="112" t="str">
        <f t="shared" si="121"/>
        <v/>
      </c>
      <c r="W457" s="112" t="str">
        <f t="shared" si="122"/>
        <v/>
      </c>
      <c r="X457" s="112" t="str">
        <f t="shared" si="116"/>
        <v/>
      </c>
      <c r="Y457" s="112" t="str">
        <f t="shared" si="117"/>
        <v/>
      </c>
      <c r="Z457" s="112" t="str">
        <f t="shared" si="123"/>
        <v/>
      </c>
      <c r="AA457" s="112" t="str">
        <f t="shared" si="124"/>
        <v/>
      </c>
      <c r="AB457" s="112" t="str">
        <f t="shared" si="125"/>
        <v/>
      </c>
      <c r="AC457" s="112" t="str">
        <f t="shared" si="126"/>
        <v/>
      </c>
      <c r="AD457" s="112" t="str">
        <f t="shared" si="127"/>
        <v/>
      </c>
    </row>
    <row r="458" spans="1:30" x14ac:dyDescent="0.2">
      <c r="A458" s="112" t="str">
        <f>IF(SUM(Q458:R458)=1,1+MAX($A$1:A457),"")</f>
        <v/>
      </c>
      <c r="B458" s="112" t="str">
        <f>IF(SUM(X458:Y458)=1,1+MAX($B$1:B457),"")</f>
        <v/>
      </c>
      <c r="C458" s="112" t="str">
        <f>IF(SUM(Q458:R458,X458:Y458)=2,1+MAX($C$1:C457),"")</f>
        <v/>
      </c>
      <c r="D458" s="113">
        <v>31570</v>
      </c>
      <c r="E458" s="112">
        <v>1986</v>
      </c>
      <c r="F458" s="112" t="s">
        <v>2672</v>
      </c>
      <c r="G458" s="112" t="s">
        <v>2673</v>
      </c>
      <c r="H458" s="114" t="s">
        <v>2715</v>
      </c>
      <c r="I458" s="112">
        <f t="shared" si="112"/>
        <v>1</v>
      </c>
      <c r="J458" s="112">
        <f t="shared" si="113"/>
        <v>2</v>
      </c>
      <c r="K458" s="115" t="s">
        <v>2557</v>
      </c>
      <c r="L458" s="115" t="s">
        <v>2976</v>
      </c>
      <c r="M458" s="115" t="s">
        <v>2986</v>
      </c>
      <c r="N458" s="115">
        <v>28000</v>
      </c>
      <c r="O458" s="112">
        <v>1</v>
      </c>
      <c r="P458" s="116" t="s">
        <v>2638</v>
      </c>
      <c r="Q458" s="112" t="str">
        <f t="shared" si="114"/>
        <v/>
      </c>
      <c r="R458" s="112" t="str">
        <f t="shared" si="115"/>
        <v/>
      </c>
      <c r="S458" s="112" t="str">
        <f t="shared" si="118"/>
        <v/>
      </c>
      <c r="T458" s="112" t="str">
        <f t="shared" si="119"/>
        <v/>
      </c>
      <c r="U458" s="112" t="str">
        <f t="shared" si="120"/>
        <v/>
      </c>
      <c r="V458" s="112" t="str">
        <f t="shared" si="121"/>
        <v/>
      </c>
      <c r="W458" s="112" t="str">
        <f t="shared" si="122"/>
        <v/>
      </c>
      <c r="X458" s="112" t="str">
        <f t="shared" si="116"/>
        <v/>
      </c>
      <c r="Y458" s="112" t="str">
        <f t="shared" si="117"/>
        <v/>
      </c>
      <c r="Z458" s="112" t="str">
        <f t="shared" si="123"/>
        <v/>
      </c>
      <c r="AA458" s="112" t="str">
        <f t="shared" si="124"/>
        <v/>
      </c>
      <c r="AB458" s="112" t="str">
        <f t="shared" si="125"/>
        <v/>
      </c>
      <c r="AC458" s="112" t="str">
        <f t="shared" si="126"/>
        <v/>
      </c>
      <c r="AD458" s="112" t="str">
        <f t="shared" si="127"/>
        <v/>
      </c>
    </row>
    <row r="459" spans="1:30" x14ac:dyDescent="0.2">
      <c r="A459" s="112" t="str">
        <f>IF(SUM(Q459:R459)=1,1+MAX($A$1:A458),"")</f>
        <v/>
      </c>
      <c r="B459" s="112" t="str">
        <f>IF(SUM(X459:Y459)=1,1+MAX($B$1:B458),"")</f>
        <v/>
      </c>
      <c r="C459" s="112" t="str">
        <f>IF(SUM(Q459:R459,X459:Y459)=2,1+MAX($C$1:C458),"")</f>
        <v/>
      </c>
      <c r="D459" s="113">
        <v>31570</v>
      </c>
      <c r="E459" s="112">
        <v>1986</v>
      </c>
      <c r="F459" s="112" t="s">
        <v>2684</v>
      </c>
      <c r="G459" s="112" t="s">
        <v>2685</v>
      </c>
      <c r="H459" s="114" t="s">
        <v>1061</v>
      </c>
      <c r="I459" s="112">
        <f t="shared" si="112"/>
        <v>1</v>
      </c>
      <c r="J459" s="112">
        <f t="shared" si="113"/>
        <v>1</v>
      </c>
      <c r="K459" s="115" t="s">
        <v>2709</v>
      </c>
      <c r="L459" s="115" t="s">
        <v>2957</v>
      </c>
      <c r="M459" s="115" t="s">
        <v>2934</v>
      </c>
      <c r="N459" s="115">
        <v>14600</v>
      </c>
      <c r="O459" s="112">
        <v>2</v>
      </c>
      <c r="P459" s="116" t="s">
        <v>2645</v>
      </c>
      <c r="Q459" s="112" t="str">
        <f t="shared" si="114"/>
        <v/>
      </c>
      <c r="R459" s="112" t="str">
        <f t="shared" si="115"/>
        <v/>
      </c>
      <c r="S459" s="112" t="str">
        <f t="shared" si="118"/>
        <v/>
      </c>
      <c r="T459" s="112" t="str">
        <f t="shared" si="119"/>
        <v/>
      </c>
      <c r="U459" s="112" t="str">
        <f t="shared" si="120"/>
        <v/>
      </c>
      <c r="V459" s="112" t="str">
        <f t="shared" si="121"/>
        <v/>
      </c>
      <c r="W459" s="112" t="str">
        <f t="shared" si="122"/>
        <v/>
      </c>
      <c r="X459" s="112" t="str">
        <f t="shared" si="116"/>
        <v/>
      </c>
      <c r="Y459" s="112" t="str">
        <f t="shared" si="117"/>
        <v/>
      </c>
      <c r="Z459" s="112" t="str">
        <f t="shared" si="123"/>
        <v/>
      </c>
      <c r="AA459" s="112" t="str">
        <f t="shared" si="124"/>
        <v/>
      </c>
      <c r="AB459" s="112" t="str">
        <f t="shared" si="125"/>
        <v/>
      </c>
      <c r="AC459" s="112" t="str">
        <f t="shared" si="126"/>
        <v/>
      </c>
      <c r="AD459" s="112" t="str">
        <f t="shared" si="127"/>
        <v/>
      </c>
    </row>
    <row r="460" spans="1:30" x14ac:dyDescent="0.2">
      <c r="A460" s="112">
        <f>IF(SUM(Q460:R460)=1,1+MAX($A$1:A459),"")</f>
        <v>32</v>
      </c>
      <c r="B460" s="112" t="str">
        <f>IF(SUM(X460:Y460)=1,1+MAX($B$1:B459),"")</f>
        <v/>
      </c>
      <c r="C460" s="112" t="str">
        <f>IF(SUM(Q460:R460,X460:Y460)=2,1+MAX($C$1:C459),"")</f>
        <v/>
      </c>
      <c r="D460" s="113">
        <v>31569</v>
      </c>
      <c r="E460" s="112">
        <v>1986</v>
      </c>
      <c r="F460" s="112" t="s">
        <v>2661</v>
      </c>
      <c r="G460" s="112" t="s">
        <v>2662</v>
      </c>
      <c r="H460" s="114" t="s">
        <v>2545</v>
      </c>
      <c r="I460" s="112">
        <f t="shared" si="112"/>
        <v>0</v>
      </c>
      <c r="J460" s="112">
        <f t="shared" si="113"/>
        <v>0</v>
      </c>
      <c r="K460" s="115" t="s">
        <v>2555</v>
      </c>
      <c r="L460" s="115" t="s">
        <v>2975</v>
      </c>
      <c r="M460" s="115" t="s">
        <v>2987</v>
      </c>
      <c r="N460" s="115">
        <v>20200</v>
      </c>
      <c r="O460" s="112">
        <v>1</v>
      </c>
      <c r="P460" s="116" t="s">
        <v>2613</v>
      </c>
      <c r="Q460" s="112">
        <f t="shared" si="114"/>
        <v>1</v>
      </c>
      <c r="R460" s="112" t="str">
        <f t="shared" si="115"/>
        <v/>
      </c>
      <c r="S460" s="112">
        <f t="shared" si="118"/>
        <v>0</v>
      </c>
      <c r="T460" s="112">
        <f t="shared" si="119"/>
        <v>1</v>
      </c>
      <c r="U460" s="112">
        <f t="shared" si="120"/>
        <v>0</v>
      </c>
      <c r="V460" s="112">
        <f t="shared" si="121"/>
        <v>0</v>
      </c>
      <c r="W460" s="112">
        <f t="shared" si="122"/>
        <v>0</v>
      </c>
      <c r="X460" s="112" t="str">
        <f t="shared" si="116"/>
        <v/>
      </c>
      <c r="Y460" s="112" t="str">
        <f t="shared" si="117"/>
        <v/>
      </c>
      <c r="Z460" s="112" t="str">
        <f t="shared" si="123"/>
        <v/>
      </c>
      <c r="AA460" s="112" t="str">
        <f t="shared" si="124"/>
        <v/>
      </c>
      <c r="AB460" s="112" t="str">
        <f t="shared" si="125"/>
        <v/>
      </c>
      <c r="AC460" s="112" t="str">
        <f t="shared" si="126"/>
        <v/>
      </c>
      <c r="AD460" s="112" t="str">
        <f t="shared" si="127"/>
        <v/>
      </c>
    </row>
    <row r="461" spans="1:30" x14ac:dyDescent="0.2">
      <c r="A461" s="112" t="str">
        <f>IF(SUM(Q461:R461)=1,1+MAX($A$1:A460),"")</f>
        <v/>
      </c>
      <c r="B461" s="112" t="str">
        <f>IF(SUM(X461:Y461)=1,1+MAX($B$1:B460),"")</f>
        <v/>
      </c>
      <c r="C461" s="112" t="str">
        <f>IF(SUM(Q461:R461,X461:Y461)=2,1+MAX($C$1:C460),"")</f>
        <v/>
      </c>
      <c r="D461" s="113">
        <v>31569</v>
      </c>
      <c r="E461" s="112">
        <v>1986</v>
      </c>
      <c r="F461" s="112" t="s">
        <v>2672</v>
      </c>
      <c r="G461" s="112" t="s">
        <v>2673</v>
      </c>
      <c r="H461" s="114" t="s">
        <v>2635</v>
      </c>
      <c r="I461" s="112">
        <f t="shared" si="112"/>
        <v>0</v>
      </c>
      <c r="J461" s="112">
        <f t="shared" si="113"/>
        <v>1</v>
      </c>
      <c r="K461" s="115" t="s">
        <v>1442</v>
      </c>
      <c r="L461" s="115" t="s">
        <v>2961</v>
      </c>
      <c r="M461" s="115" t="s">
        <v>2988</v>
      </c>
      <c r="N461" s="115">
        <v>48000</v>
      </c>
      <c r="O461" s="112">
        <v>1</v>
      </c>
      <c r="P461" s="116" t="s">
        <v>2601</v>
      </c>
      <c r="Q461" s="112" t="str">
        <f t="shared" si="114"/>
        <v/>
      </c>
      <c r="R461" s="112" t="str">
        <f t="shared" si="115"/>
        <v/>
      </c>
      <c r="S461" s="112" t="str">
        <f t="shared" si="118"/>
        <v/>
      </c>
      <c r="T461" s="112" t="str">
        <f t="shared" si="119"/>
        <v/>
      </c>
      <c r="U461" s="112" t="str">
        <f t="shared" si="120"/>
        <v/>
      </c>
      <c r="V461" s="112" t="str">
        <f t="shared" si="121"/>
        <v/>
      </c>
      <c r="W461" s="112" t="str">
        <f t="shared" si="122"/>
        <v/>
      </c>
      <c r="X461" s="112" t="str">
        <f t="shared" si="116"/>
        <v/>
      </c>
      <c r="Y461" s="112" t="str">
        <f t="shared" si="117"/>
        <v/>
      </c>
      <c r="Z461" s="112" t="str">
        <f t="shared" si="123"/>
        <v/>
      </c>
      <c r="AA461" s="112" t="str">
        <f t="shared" si="124"/>
        <v/>
      </c>
      <c r="AB461" s="112" t="str">
        <f t="shared" si="125"/>
        <v/>
      </c>
      <c r="AC461" s="112" t="str">
        <f t="shared" si="126"/>
        <v/>
      </c>
      <c r="AD461" s="112" t="str">
        <f t="shared" si="127"/>
        <v/>
      </c>
    </row>
    <row r="462" spans="1:30" x14ac:dyDescent="0.2">
      <c r="A462" s="112" t="str">
        <f>IF(SUM(Q462:R462)=1,1+MAX($A$1:A461),"")</f>
        <v/>
      </c>
      <c r="B462" s="112" t="str">
        <f>IF(SUM(X462:Y462)=1,1+MAX($B$1:B461),"")</f>
        <v/>
      </c>
      <c r="C462" s="112" t="str">
        <f>IF(SUM(Q462:R462,X462:Y462)=2,1+MAX($C$1:C461),"")</f>
        <v/>
      </c>
      <c r="D462" s="113">
        <v>31569</v>
      </c>
      <c r="E462" s="112">
        <v>1986</v>
      </c>
      <c r="F462" s="112" t="s">
        <v>2677</v>
      </c>
      <c r="G462" s="112" t="s">
        <v>2678</v>
      </c>
      <c r="H462" s="114" t="s">
        <v>2698</v>
      </c>
      <c r="I462" s="112">
        <f t="shared" si="112"/>
        <v>0</v>
      </c>
      <c r="J462" s="112">
        <f t="shared" si="113"/>
        <v>2</v>
      </c>
      <c r="K462" s="115" t="s">
        <v>2725</v>
      </c>
      <c r="L462" s="115" t="s">
        <v>2982</v>
      </c>
      <c r="M462" s="115" t="s">
        <v>2901</v>
      </c>
      <c r="N462" s="115">
        <v>13800</v>
      </c>
      <c r="O462" s="112">
        <v>2</v>
      </c>
      <c r="P462" s="116" t="s">
        <v>2687</v>
      </c>
      <c r="Q462" s="112" t="str">
        <f t="shared" si="114"/>
        <v/>
      </c>
      <c r="R462" s="112" t="str">
        <f t="shared" si="115"/>
        <v/>
      </c>
      <c r="S462" s="112" t="str">
        <f t="shared" si="118"/>
        <v/>
      </c>
      <c r="T462" s="112" t="str">
        <f t="shared" si="119"/>
        <v/>
      </c>
      <c r="U462" s="112" t="str">
        <f t="shared" si="120"/>
        <v/>
      </c>
      <c r="V462" s="112" t="str">
        <f t="shared" si="121"/>
        <v/>
      </c>
      <c r="W462" s="112" t="str">
        <f t="shared" si="122"/>
        <v/>
      </c>
      <c r="X462" s="112" t="str">
        <f t="shared" si="116"/>
        <v/>
      </c>
      <c r="Y462" s="112" t="str">
        <f t="shared" si="117"/>
        <v/>
      </c>
      <c r="Z462" s="112" t="str">
        <f t="shared" si="123"/>
        <v/>
      </c>
      <c r="AA462" s="112" t="str">
        <f t="shared" si="124"/>
        <v/>
      </c>
      <c r="AB462" s="112" t="str">
        <f t="shared" si="125"/>
        <v/>
      </c>
      <c r="AC462" s="112" t="str">
        <f t="shared" si="126"/>
        <v/>
      </c>
      <c r="AD462" s="112" t="str">
        <f t="shared" si="127"/>
        <v/>
      </c>
    </row>
    <row r="463" spans="1:30" x14ac:dyDescent="0.2">
      <c r="A463" s="112" t="str">
        <f>IF(SUM(Q463:R463)=1,1+MAX($A$1:A462),"")</f>
        <v/>
      </c>
      <c r="B463" s="112" t="str">
        <f>IF(SUM(X463:Y463)=1,1+MAX($B$1:B462),"")</f>
        <v/>
      </c>
      <c r="C463" s="112" t="str">
        <f>IF(SUM(Q463:R463,X463:Y463)=2,1+MAX($C$1:C462),"")</f>
        <v/>
      </c>
      <c r="D463" s="113">
        <v>31568</v>
      </c>
      <c r="E463" s="112">
        <v>1986</v>
      </c>
      <c r="F463" s="112" t="s">
        <v>2677</v>
      </c>
      <c r="G463" s="112" t="s">
        <v>2678</v>
      </c>
      <c r="H463" s="114" t="s">
        <v>2541</v>
      </c>
      <c r="I463" s="112">
        <f t="shared" si="112"/>
        <v>1</v>
      </c>
      <c r="J463" s="112">
        <f t="shared" si="113"/>
        <v>1</v>
      </c>
      <c r="K463" s="115" t="s">
        <v>2720</v>
      </c>
      <c r="L463" s="115" t="s">
        <v>2971</v>
      </c>
      <c r="M463" s="115" t="s">
        <v>2958</v>
      </c>
      <c r="N463" s="115">
        <v>36540</v>
      </c>
      <c r="O463" s="112">
        <v>1</v>
      </c>
      <c r="P463" s="116" t="s">
        <v>2645</v>
      </c>
      <c r="Q463" s="112" t="str">
        <f t="shared" si="114"/>
        <v/>
      </c>
      <c r="R463" s="112" t="str">
        <f t="shared" si="115"/>
        <v/>
      </c>
      <c r="S463" s="112" t="str">
        <f t="shared" si="118"/>
        <v/>
      </c>
      <c r="T463" s="112" t="str">
        <f t="shared" si="119"/>
        <v/>
      </c>
      <c r="U463" s="112" t="str">
        <f t="shared" si="120"/>
        <v/>
      </c>
      <c r="V463" s="112" t="str">
        <f t="shared" si="121"/>
        <v/>
      </c>
      <c r="W463" s="112" t="str">
        <f t="shared" si="122"/>
        <v/>
      </c>
      <c r="X463" s="112" t="str">
        <f t="shared" si="116"/>
        <v/>
      </c>
      <c r="Y463" s="112" t="str">
        <f t="shared" si="117"/>
        <v/>
      </c>
      <c r="Z463" s="112" t="str">
        <f t="shared" si="123"/>
        <v/>
      </c>
      <c r="AA463" s="112" t="str">
        <f t="shared" si="124"/>
        <v/>
      </c>
      <c r="AB463" s="112" t="str">
        <f t="shared" si="125"/>
        <v/>
      </c>
      <c r="AC463" s="112" t="str">
        <f t="shared" si="126"/>
        <v/>
      </c>
      <c r="AD463" s="112" t="str">
        <f t="shared" si="127"/>
        <v/>
      </c>
    </row>
    <row r="464" spans="1:30" x14ac:dyDescent="0.2">
      <c r="A464" s="112" t="str">
        <f>IF(SUM(Q464:R464)=1,1+MAX($A$1:A463),"")</f>
        <v/>
      </c>
      <c r="B464" s="112" t="str">
        <f>IF(SUM(X464:Y464)=1,1+MAX($B$1:B463),"")</f>
        <v/>
      </c>
      <c r="C464" s="112" t="str">
        <f>IF(SUM(Q464:R464,X464:Y464)=2,1+MAX($C$1:C463),"")</f>
        <v/>
      </c>
      <c r="D464" s="113">
        <v>31568</v>
      </c>
      <c r="E464" s="112">
        <v>1986</v>
      </c>
      <c r="F464" s="112" t="s">
        <v>2689</v>
      </c>
      <c r="G464" s="112" t="s">
        <v>2690</v>
      </c>
      <c r="H464" s="114" t="s">
        <v>2631</v>
      </c>
      <c r="I464" s="112">
        <f t="shared" si="112"/>
        <v>1</v>
      </c>
      <c r="J464" s="112">
        <f t="shared" si="113"/>
        <v>1</v>
      </c>
      <c r="K464" s="115" t="s">
        <v>2543</v>
      </c>
      <c r="L464" s="115" t="s">
        <v>2969</v>
      </c>
      <c r="M464" s="115" t="s">
        <v>2989</v>
      </c>
      <c r="N464" s="115">
        <v>45000</v>
      </c>
      <c r="O464" s="112">
        <v>1</v>
      </c>
      <c r="P464" s="116" t="s">
        <v>2645</v>
      </c>
      <c r="Q464" s="112" t="str">
        <f t="shared" si="114"/>
        <v/>
      </c>
      <c r="R464" s="112" t="str">
        <f t="shared" si="115"/>
        <v/>
      </c>
      <c r="S464" s="112" t="str">
        <f t="shared" si="118"/>
        <v/>
      </c>
      <c r="T464" s="112" t="str">
        <f t="shared" si="119"/>
        <v/>
      </c>
      <c r="U464" s="112" t="str">
        <f t="shared" si="120"/>
        <v/>
      </c>
      <c r="V464" s="112" t="str">
        <f t="shared" si="121"/>
        <v/>
      </c>
      <c r="W464" s="112" t="str">
        <f t="shared" si="122"/>
        <v/>
      </c>
      <c r="X464" s="112" t="str">
        <f t="shared" si="116"/>
        <v/>
      </c>
      <c r="Y464" s="112" t="str">
        <f t="shared" si="117"/>
        <v/>
      </c>
      <c r="Z464" s="112" t="str">
        <f t="shared" si="123"/>
        <v/>
      </c>
      <c r="AA464" s="112" t="str">
        <f t="shared" si="124"/>
        <v/>
      </c>
      <c r="AB464" s="112" t="str">
        <f t="shared" si="125"/>
        <v/>
      </c>
      <c r="AC464" s="112" t="str">
        <f t="shared" si="126"/>
        <v/>
      </c>
      <c r="AD464" s="112" t="str">
        <f t="shared" si="127"/>
        <v/>
      </c>
    </row>
    <row r="465" spans="1:30" x14ac:dyDescent="0.2">
      <c r="A465" s="112" t="str">
        <f>IF(SUM(Q465:R465)=1,1+MAX($A$1:A464),"")</f>
        <v/>
      </c>
      <c r="B465" s="112">
        <f>IF(SUM(X465:Y465)=1,1+MAX($B$1:B464),"")</f>
        <v>42</v>
      </c>
      <c r="C465" s="112" t="str">
        <f>IF(SUM(Q465:R465,X465:Y465)=2,1+MAX($C$1:C464),"")</f>
        <v/>
      </c>
      <c r="D465" s="113">
        <v>31568</v>
      </c>
      <c r="E465" s="112">
        <v>1986</v>
      </c>
      <c r="F465" s="112" t="s">
        <v>2689</v>
      </c>
      <c r="G465" s="112" t="s">
        <v>2690</v>
      </c>
      <c r="H465" s="114" t="s">
        <v>1134</v>
      </c>
      <c r="I465" s="112">
        <f t="shared" si="112"/>
        <v>1</v>
      </c>
      <c r="J465" s="112">
        <f t="shared" si="113"/>
        <v>1</v>
      </c>
      <c r="K465" s="115" t="s">
        <v>2674</v>
      </c>
      <c r="L465" s="115" t="s">
        <v>2959</v>
      </c>
      <c r="M465" s="115" t="s">
        <v>2967</v>
      </c>
      <c r="N465" s="115">
        <v>32000</v>
      </c>
      <c r="O465" s="112">
        <v>1</v>
      </c>
      <c r="P465" s="116" t="s">
        <v>2645</v>
      </c>
      <c r="Q465" s="112" t="str">
        <f t="shared" si="114"/>
        <v/>
      </c>
      <c r="R465" s="112" t="str">
        <f t="shared" si="115"/>
        <v/>
      </c>
      <c r="S465" s="112" t="str">
        <f t="shared" si="118"/>
        <v/>
      </c>
      <c r="T465" s="112" t="str">
        <f t="shared" si="119"/>
        <v/>
      </c>
      <c r="U465" s="112" t="str">
        <f t="shared" si="120"/>
        <v/>
      </c>
      <c r="V465" s="112" t="str">
        <f t="shared" si="121"/>
        <v/>
      </c>
      <c r="W465" s="112" t="str">
        <f t="shared" si="122"/>
        <v/>
      </c>
      <c r="X465" s="112">
        <f t="shared" si="116"/>
        <v>1</v>
      </c>
      <c r="Y465" s="112" t="str">
        <f t="shared" si="117"/>
        <v/>
      </c>
      <c r="Z465" s="112">
        <f t="shared" si="123"/>
        <v>0</v>
      </c>
      <c r="AA465" s="112">
        <f t="shared" si="124"/>
        <v>1</v>
      </c>
      <c r="AB465" s="112">
        <f t="shared" si="125"/>
        <v>0</v>
      </c>
      <c r="AC465" s="112">
        <f t="shared" si="126"/>
        <v>2</v>
      </c>
      <c r="AD465" s="112">
        <f t="shared" si="127"/>
        <v>0</v>
      </c>
    </row>
    <row r="466" spans="1:30" x14ac:dyDescent="0.2">
      <c r="A466" s="112" t="str">
        <f>IF(SUM(Q466:R466)=1,1+MAX($A$1:A465),"")</f>
        <v/>
      </c>
      <c r="B466" s="112" t="str">
        <f>IF(SUM(X466:Y466)=1,1+MAX($B$1:B465),"")</f>
        <v/>
      </c>
      <c r="C466" s="112" t="str">
        <f>IF(SUM(Q466:R466,X466:Y466)=2,1+MAX($C$1:C465),"")</f>
        <v/>
      </c>
      <c r="D466" s="113">
        <v>31567</v>
      </c>
      <c r="E466" s="112">
        <v>1986</v>
      </c>
      <c r="F466" s="112" t="s">
        <v>2666</v>
      </c>
      <c r="G466" s="112" t="s">
        <v>2667</v>
      </c>
      <c r="H466" s="114" t="s">
        <v>2548</v>
      </c>
      <c r="I466" s="112">
        <f t="shared" si="112"/>
        <v>1</v>
      </c>
      <c r="J466" s="112">
        <f t="shared" si="113"/>
        <v>0</v>
      </c>
      <c r="K466" s="115" t="s">
        <v>2717</v>
      </c>
      <c r="L466" s="115" t="s">
        <v>2973</v>
      </c>
      <c r="M466" s="115" t="s">
        <v>2990</v>
      </c>
      <c r="N466" s="115">
        <v>18000</v>
      </c>
      <c r="O466" s="112">
        <v>1</v>
      </c>
      <c r="P466" s="116" t="s">
        <v>2622</v>
      </c>
      <c r="Q466" s="112" t="str">
        <f t="shared" si="114"/>
        <v/>
      </c>
      <c r="R466" s="112" t="str">
        <f t="shared" si="115"/>
        <v/>
      </c>
      <c r="S466" s="112" t="str">
        <f t="shared" si="118"/>
        <v/>
      </c>
      <c r="T466" s="112" t="str">
        <f t="shared" si="119"/>
        <v/>
      </c>
      <c r="U466" s="112" t="str">
        <f t="shared" si="120"/>
        <v/>
      </c>
      <c r="V466" s="112" t="str">
        <f t="shared" si="121"/>
        <v/>
      </c>
      <c r="W466" s="112" t="str">
        <f t="shared" si="122"/>
        <v/>
      </c>
      <c r="X466" s="112" t="str">
        <f t="shared" si="116"/>
        <v/>
      </c>
      <c r="Y466" s="112" t="str">
        <f t="shared" si="117"/>
        <v/>
      </c>
      <c r="Z466" s="112" t="str">
        <f t="shared" si="123"/>
        <v/>
      </c>
      <c r="AA466" s="112" t="str">
        <f t="shared" si="124"/>
        <v/>
      </c>
      <c r="AB466" s="112" t="str">
        <f t="shared" si="125"/>
        <v/>
      </c>
      <c r="AC466" s="112" t="str">
        <f t="shared" si="126"/>
        <v/>
      </c>
      <c r="AD466" s="112" t="str">
        <f t="shared" si="127"/>
        <v/>
      </c>
    </row>
    <row r="467" spans="1:30" x14ac:dyDescent="0.2">
      <c r="A467" s="112" t="str">
        <f>IF(SUM(Q467:R467)=1,1+MAX($A$1:A466),"")</f>
        <v/>
      </c>
      <c r="B467" s="112" t="str">
        <f>IF(SUM(X467:Y467)=1,1+MAX($B$1:B466),"")</f>
        <v/>
      </c>
      <c r="C467" s="112" t="str">
        <f>IF(SUM(Q467:R467,X467:Y467)=2,1+MAX($C$1:C466),"")</f>
        <v/>
      </c>
      <c r="D467" s="113">
        <v>31567</v>
      </c>
      <c r="E467" s="112">
        <v>1986</v>
      </c>
      <c r="F467" s="112" t="s">
        <v>2666</v>
      </c>
      <c r="G467" s="112" t="s">
        <v>2667</v>
      </c>
      <c r="H467" s="114" t="s">
        <v>2547</v>
      </c>
      <c r="I467" s="112">
        <f t="shared" si="112"/>
        <v>1</v>
      </c>
      <c r="J467" s="112">
        <f t="shared" si="113"/>
        <v>1</v>
      </c>
      <c r="K467" s="115" t="s">
        <v>2540</v>
      </c>
      <c r="L467" s="115" t="s">
        <v>2966</v>
      </c>
      <c r="M467" s="115" t="s">
        <v>2991</v>
      </c>
      <c r="N467" s="115">
        <v>30500</v>
      </c>
      <c r="O467" s="112">
        <v>2</v>
      </c>
      <c r="P467" s="116" t="s">
        <v>2645</v>
      </c>
      <c r="Q467" s="112" t="str">
        <f t="shared" si="114"/>
        <v/>
      </c>
      <c r="R467" s="112" t="str">
        <f t="shared" si="115"/>
        <v/>
      </c>
      <c r="S467" s="112" t="str">
        <f t="shared" si="118"/>
        <v/>
      </c>
      <c r="T467" s="112" t="str">
        <f t="shared" si="119"/>
        <v/>
      </c>
      <c r="U467" s="112" t="str">
        <f t="shared" si="120"/>
        <v/>
      </c>
      <c r="V467" s="112" t="str">
        <f t="shared" si="121"/>
        <v/>
      </c>
      <c r="W467" s="112" t="str">
        <f t="shared" si="122"/>
        <v/>
      </c>
      <c r="X467" s="112" t="str">
        <f t="shared" si="116"/>
        <v/>
      </c>
      <c r="Y467" s="112" t="str">
        <f t="shared" si="117"/>
        <v/>
      </c>
      <c r="Z467" s="112" t="str">
        <f t="shared" si="123"/>
        <v/>
      </c>
      <c r="AA467" s="112" t="str">
        <f t="shared" si="124"/>
        <v/>
      </c>
      <c r="AB467" s="112" t="str">
        <f t="shared" si="125"/>
        <v/>
      </c>
      <c r="AC467" s="112" t="str">
        <f t="shared" si="126"/>
        <v/>
      </c>
      <c r="AD467" s="112" t="str">
        <f t="shared" si="127"/>
        <v/>
      </c>
    </row>
    <row r="468" spans="1:30" x14ac:dyDescent="0.2">
      <c r="A468" s="112" t="str">
        <f>IF(SUM(Q468:R468)=1,1+MAX($A$1:A467),"")</f>
        <v/>
      </c>
      <c r="B468" s="112" t="str">
        <f>IF(SUM(X468:Y468)=1,1+MAX($B$1:B467),"")</f>
        <v/>
      </c>
      <c r="C468" s="112" t="str">
        <f>IF(SUM(Q468:R468,X468:Y468)=2,1+MAX($C$1:C467),"")</f>
        <v/>
      </c>
      <c r="D468" s="113">
        <v>31567</v>
      </c>
      <c r="E468" s="112">
        <v>1986</v>
      </c>
      <c r="F468" s="112" t="s">
        <v>2684</v>
      </c>
      <c r="G468" s="112" t="s">
        <v>2685</v>
      </c>
      <c r="H468" s="114" t="s">
        <v>2681</v>
      </c>
      <c r="I468" s="112">
        <f t="shared" si="112"/>
        <v>0</v>
      </c>
      <c r="J468" s="112">
        <f t="shared" si="113"/>
        <v>1</v>
      </c>
      <c r="K468" s="115" t="s">
        <v>2709</v>
      </c>
      <c r="L468" s="115" t="s">
        <v>2978</v>
      </c>
      <c r="M468" s="115" t="s">
        <v>2992</v>
      </c>
      <c r="N468" s="115">
        <v>24000</v>
      </c>
      <c r="O468" s="112">
        <v>2</v>
      </c>
      <c r="P468" s="116" t="s">
        <v>2601</v>
      </c>
      <c r="Q468" s="112" t="str">
        <f t="shared" si="114"/>
        <v/>
      </c>
      <c r="R468" s="112" t="str">
        <f t="shared" si="115"/>
        <v/>
      </c>
      <c r="S468" s="112" t="str">
        <f t="shared" si="118"/>
        <v/>
      </c>
      <c r="T468" s="112" t="str">
        <f t="shared" si="119"/>
        <v/>
      </c>
      <c r="U468" s="112" t="str">
        <f t="shared" si="120"/>
        <v/>
      </c>
      <c r="V468" s="112" t="str">
        <f t="shared" si="121"/>
        <v/>
      </c>
      <c r="W468" s="112" t="str">
        <f t="shared" si="122"/>
        <v/>
      </c>
      <c r="X468" s="112" t="str">
        <f t="shared" si="116"/>
        <v/>
      </c>
      <c r="Y468" s="112" t="str">
        <f t="shared" si="117"/>
        <v/>
      </c>
      <c r="Z468" s="112" t="str">
        <f t="shared" si="123"/>
        <v/>
      </c>
      <c r="AA468" s="112" t="str">
        <f t="shared" si="124"/>
        <v/>
      </c>
      <c r="AB468" s="112" t="str">
        <f t="shared" si="125"/>
        <v/>
      </c>
      <c r="AC468" s="112" t="str">
        <f t="shared" si="126"/>
        <v/>
      </c>
      <c r="AD468" s="112" t="str">
        <f t="shared" si="127"/>
        <v/>
      </c>
    </row>
    <row r="469" spans="1:30" x14ac:dyDescent="0.2">
      <c r="A469" s="112">
        <f>IF(SUM(Q469:R469)=1,1+MAX($A$1:A468),"")</f>
        <v>33</v>
      </c>
      <c r="B469" s="112" t="str">
        <f>IF(SUM(X469:Y469)=1,1+MAX($B$1:B468),"")</f>
        <v/>
      </c>
      <c r="C469" s="112" t="str">
        <f>IF(SUM(Q469:R469,X469:Y469)=2,1+MAX($C$1:C468),"")</f>
        <v/>
      </c>
      <c r="D469" s="113">
        <v>31566</v>
      </c>
      <c r="E469" s="112">
        <v>1986</v>
      </c>
      <c r="F469" s="112" t="s">
        <v>2661</v>
      </c>
      <c r="G469" s="112" t="s">
        <v>2662</v>
      </c>
      <c r="H469" s="114" t="s">
        <v>2545</v>
      </c>
      <c r="I469" s="112">
        <f t="shared" si="112"/>
        <v>0</v>
      </c>
      <c r="J469" s="112">
        <f t="shared" si="113"/>
        <v>1</v>
      </c>
      <c r="K469" s="115" t="s">
        <v>2556</v>
      </c>
      <c r="L469" s="115" t="s">
        <v>2975</v>
      </c>
      <c r="M469" s="115" t="s">
        <v>2970</v>
      </c>
      <c r="N469" s="115">
        <v>23000</v>
      </c>
      <c r="O469" s="112">
        <v>1</v>
      </c>
      <c r="P469" s="116" t="s">
        <v>2601</v>
      </c>
      <c r="Q469" s="112">
        <f t="shared" si="114"/>
        <v>1</v>
      </c>
      <c r="R469" s="112" t="str">
        <f t="shared" si="115"/>
        <v/>
      </c>
      <c r="S469" s="112">
        <f t="shared" si="118"/>
        <v>0</v>
      </c>
      <c r="T469" s="112">
        <f t="shared" si="119"/>
        <v>0</v>
      </c>
      <c r="U469" s="112">
        <f t="shared" si="120"/>
        <v>1</v>
      </c>
      <c r="V469" s="112">
        <f t="shared" si="121"/>
        <v>1</v>
      </c>
      <c r="W469" s="112">
        <f t="shared" si="122"/>
        <v>-1</v>
      </c>
      <c r="X469" s="112" t="str">
        <f t="shared" si="116"/>
        <v/>
      </c>
      <c r="Y469" s="112" t="str">
        <f t="shared" si="117"/>
        <v/>
      </c>
      <c r="Z469" s="112" t="str">
        <f t="shared" si="123"/>
        <v/>
      </c>
      <c r="AA469" s="112" t="str">
        <f t="shared" si="124"/>
        <v/>
      </c>
      <c r="AB469" s="112" t="str">
        <f t="shared" si="125"/>
        <v/>
      </c>
      <c r="AC469" s="112" t="str">
        <f t="shared" si="126"/>
        <v/>
      </c>
      <c r="AD469" s="112" t="str">
        <f t="shared" si="127"/>
        <v/>
      </c>
    </row>
    <row r="470" spans="1:30" x14ac:dyDescent="0.2">
      <c r="A470" s="112" t="str">
        <f>IF(SUM(Q470:R470)=1,1+MAX($A$1:A469),"")</f>
        <v/>
      </c>
      <c r="B470" s="112" t="str">
        <f>IF(SUM(X470:Y470)=1,1+MAX($B$1:B469),"")</f>
        <v/>
      </c>
      <c r="C470" s="112" t="str">
        <f>IF(SUM(Q470:R470,X470:Y470)=2,1+MAX($C$1:C469),"")</f>
        <v/>
      </c>
      <c r="D470" s="113">
        <v>31566</v>
      </c>
      <c r="E470" s="112">
        <v>1986</v>
      </c>
      <c r="F470" s="112" t="s">
        <v>2672</v>
      </c>
      <c r="G470" s="112" t="s">
        <v>2673</v>
      </c>
      <c r="H470" s="114" t="s">
        <v>2635</v>
      </c>
      <c r="I470" s="112">
        <f t="shared" si="112"/>
        <v>1</v>
      </c>
      <c r="J470" s="112">
        <f t="shared" si="113"/>
        <v>1</v>
      </c>
      <c r="K470" s="115" t="s">
        <v>2715</v>
      </c>
      <c r="L470" s="115" t="s">
        <v>2976</v>
      </c>
      <c r="M470" s="115" t="s">
        <v>2993</v>
      </c>
      <c r="N470" s="115">
        <v>22000</v>
      </c>
      <c r="O470" s="112">
        <v>1</v>
      </c>
      <c r="P470" s="116" t="s">
        <v>2645</v>
      </c>
      <c r="Q470" s="112" t="str">
        <f t="shared" si="114"/>
        <v/>
      </c>
      <c r="R470" s="112" t="str">
        <f t="shared" si="115"/>
        <v/>
      </c>
      <c r="S470" s="112" t="str">
        <f t="shared" si="118"/>
        <v/>
      </c>
      <c r="T470" s="112" t="str">
        <f t="shared" si="119"/>
        <v/>
      </c>
      <c r="U470" s="112" t="str">
        <f t="shared" si="120"/>
        <v/>
      </c>
      <c r="V470" s="112" t="str">
        <f t="shared" si="121"/>
        <v/>
      </c>
      <c r="W470" s="112" t="str">
        <f t="shared" si="122"/>
        <v/>
      </c>
      <c r="X470" s="112" t="str">
        <f t="shared" si="116"/>
        <v/>
      </c>
      <c r="Y470" s="112" t="str">
        <f t="shared" si="117"/>
        <v/>
      </c>
      <c r="Z470" s="112" t="str">
        <f t="shared" si="123"/>
        <v/>
      </c>
      <c r="AA470" s="112" t="str">
        <f t="shared" si="124"/>
        <v/>
      </c>
      <c r="AB470" s="112" t="str">
        <f t="shared" si="125"/>
        <v/>
      </c>
      <c r="AC470" s="112" t="str">
        <f t="shared" si="126"/>
        <v/>
      </c>
      <c r="AD470" s="112" t="str">
        <f t="shared" si="127"/>
        <v/>
      </c>
    </row>
    <row r="471" spans="1:30" x14ac:dyDescent="0.2">
      <c r="A471" s="112" t="str">
        <f>IF(SUM(Q471:R471)=1,1+MAX($A$1:A470),"")</f>
        <v/>
      </c>
      <c r="B471" s="112" t="str">
        <f>IF(SUM(X471:Y471)=1,1+MAX($B$1:B470),"")</f>
        <v/>
      </c>
      <c r="C471" s="112" t="str">
        <f>IF(SUM(Q471:R471,X471:Y471)=2,1+MAX($C$1:C470),"")</f>
        <v/>
      </c>
      <c r="D471" s="113">
        <v>31566</v>
      </c>
      <c r="E471" s="112">
        <v>1986</v>
      </c>
      <c r="F471" s="112" t="s">
        <v>2684</v>
      </c>
      <c r="G471" s="112" t="s">
        <v>2685</v>
      </c>
      <c r="H471" s="114" t="s">
        <v>2554</v>
      </c>
      <c r="I471" s="112">
        <f t="shared" si="112"/>
        <v>1</v>
      </c>
      <c r="J471" s="112">
        <f t="shared" si="113"/>
        <v>2</v>
      </c>
      <c r="K471" s="115" t="s">
        <v>1061</v>
      </c>
      <c r="L471" s="115" t="s">
        <v>2957</v>
      </c>
      <c r="M471" s="115" t="s">
        <v>2994</v>
      </c>
      <c r="N471" s="115">
        <v>110000</v>
      </c>
      <c r="O471" s="112">
        <v>1</v>
      </c>
      <c r="P471" s="116" t="s">
        <v>2638</v>
      </c>
      <c r="Q471" s="112" t="str">
        <f t="shared" si="114"/>
        <v/>
      </c>
      <c r="R471" s="112" t="str">
        <f t="shared" si="115"/>
        <v/>
      </c>
      <c r="S471" s="112" t="str">
        <f t="shared" si="118"/>
        <v/>
      </c>
      <c r="T471" s="112" t="str">
        <f t="shared" si="119"/>
        <v/>
      </c>
      <c r="U471" s="112" t="str">
        <f t="shared" si="120"/>
        <v/>
      </c>
      <c r="V471" s="112" t="str">
        <f t="shared" si="121"/>
        <v/>
      </c>
      <c r="W471" s="112" t="str">
        <f t="shared" si="122"/>
        <v/>
      </c>
      <c r="X471" s="112" t="str">
        <f t="shared" si="116"/>
        <v/>
      </c>
      <c r="Y471" s="112" t="str">
        <f t="shared" si="117"/>
        <v/>
      </c>
      <c r="Z471" s="112" t="str">
        <f t="shared" si="123"/>
        <v/>
      </c>
      <c r="AA471" s="112" t="str">
        <f t="shared" si="124"/>
        <v/>
      </c>
      <c r="AB471" s="112" t="str">
        <f t="shared" si="125"/>
        <v/>
      </c>
      <c r="AC471" s="112" t="str">
        <f t="shared" si="126"/>
        <v/>
      </c>
      <c r="AD471" s="112" t="str">
        <f t="shared" si="127"/>
        <v/>
      </c>
    </row>
    <row r="472" spans="1:30" x14ac:dyDescent="0.2">
      <c r="A472" s="112" t="str">
        <f>IF(SUM(Q472:R472)=1,1+MAX($A$1:A471),"")</f>
        <v/>
      </c>
      <c r="B472" s="112" t="str">
        <f>IF(SUM(X472:Y472)=1,1+MAX($B$1:B471),"")</f>
        <v/>
      </c>
      <c r="C472" s="112" t="str">
        <f>IF(SUM(Q472:R472,X472:Y472)=2,1+MAX($C$1:C471),"")</f>
        <v/>
      </c>
      <c r="D472" s="113">
        <v>31565</v>
      </c>
      <c r="E472" s="112">
        <v>1986</v>
      </c>
      <c r="F472" s="112" t="s">
        <v>2661</v>
      </c>
      <c r="G472" s="112" t="s">
        <v>2662</v>
      </c>
      <c r="H472" s="114" t="s">
        <v>2555</v>
      </c>
      <c r="I472" s="112">
        <f t="shared" si="112"/>
        <v>0</v>
      </c>
      <c r="J472" s="112">
        <f t="shared" si="113"/>
        <v>0</v>
      </c>
      <c r="K472" s="115" t="s">
        <v>2544</v>
      </c>
      <c r="L472" s="115" t="s">
        <v>2963</v>
      </c>
      <c r="M472" s="115" t="s">
        <v>2995</v>
      </c>
      <c r="N472" s="115">
        <v>19900</v>
      </c>
      <c r="O472" s="112">
        <v>1</v>
      </c>
      <c r="P472" s="116" t="s">
        <v>2613</v>
      </c>
      <c r="Q472" s="112" t="str">
        <f t="shared" si="114"/>
        <v/>
      </c>
      <c r="R472" s="112" t="str">
        <f t="shared" si="115"/>
        <v/>
      </c>
      <c r="S472" s="112" t="str">
        <f t="shared" si="118"/>
        <v/>
      </c>
      <c r="T472" s="112" t="str">
        <f t="shared" si="119"/>
        <v/>
      </c>
      <c r="U472" s="112" t="str">
        <f t="shared" si="120"/>
        <v/>
      </c>
      <c r="V472" s="112" t="str">
        <f t="shared" si="121"/>
        <v/>
      </c>
      <c r="W472" s="112" t="str">
        <f t="shared" si="122"/>
        <v/>
      </c>
      <c r="X472" s="112" t="str">
        <f t="shared" si="116"/>
        <v/>
      </c>
      <c r="Y472" s="112" t="str">
        <f t="shared" si="117"/>
        <v/>
      </c>
      <c r="Z472" s="112" t="str">
        <f t="shared" si="123"/>
        <v/>
      </c>
      <c r="AA472" s="112" t="str">
        <f t="shared" si="124"/>
        <v/>
      </c>
      <c r="AB472" s="112" t="str">
        <f t="shared" si="125"/>
        <v/>
      </c>
      <c r="AC472" s="112" t="str">
        <f t="shared" si="126"/>
        <v/>
      </c>
      <c r="AD472" s="112" t="str">
        <f t="shared" si="127"/>
        <v/>
      </c>
    </row>
    <row r="473" spans="1:30" x14ac:dyDescent="0.2">
      <c r="A473" s="112" t="str">
        <f>IF(SUM(Q473:R473)=1,1+MAX($A$1:A472),"")</f>
        <v/>
      </c>
      <c r="B473" s="112" t="str">
        <f>IF(SUM(X473:Y473)=1,1+MAX($B$1:B472),"")</f>
        <v/>
      </c>
      <c r="C473" s="112" t="str">
        <f>IF(SUM(Q473:R473,X473:Y473)=2,1+MAX($C$1:C472),"")</f>
        <v/>
      </c>
      <c r="D473" s="113">
        <v>31565</v>
      </c>
      <c r="E473" s="112">
        <v>1986</v>
      </c>
      <c r="F473" s="112" t="s">
        <v>2677</v>
      </c>
      <c r="G473" s="112" t="s">
        <v>2678</v>
      </c>
      <c r="H473" s="114" t="s">
        <v>2725</v>
      </c>
      <c r="I473" s="112">
        <f t="shared" si="112"/>
        <v>0</v>
      </c>
      <c r="J473" s="112">
        <f t="shared" si="113"/>
        <v>6</v>
      </c>
      <c r="K473" s="115" t="s">
        <v>2720</v>
      </c>
      <c r="L473" s="115" t="s">
        <v>2982</v>
      </c>
      <c r="M473" s="115" t="s">
        <v>2951</v>
      </c>
      <c r="N473" s="115">
        <v>16500</v>
      </c>
      <c r="O473" s="112">
        <v>1</v>
      </c>
      <c r="P473" s="116" t="s">
        <v>2996</v>
      </c>
      <c r="Q473" s="112" t="str">
        <f t="shared" si="114"/>
        <v/>
      </c>
      <c r="R473" s="112" t="str">
        <f t="shared" si="115"/>
        <v/>
      </c>
      <c r="S473" s="112" t="str">
        <f t="shared" si="118"/>
        <v/>
      </c>
      <c r="T473" s="112" t="str">
        <f t="shared" si="119"/>
        <v/>
      </c>
      <c r="U473" s="112" t="str">
        <f t="shared" si="120"/>
        <v/>
      </c>
      <c r="V473" s="112" t="str">
        <f t="shared" si="121"/>
        <v/>
      </c>
      <c r="W473" s="112" t="str">
        <f t="shared" si="122"/>
        <v/>
      </c>
      <c r="X473" s="112" t="str">
        <f t="shared" si="116"/>
        <v/>
      </c>
      <c r="Y473" s="112" t="str">
        <f t="shared" si="117"/>
        <v/>
      </c>
      <c r="Z473" s="112" t="str">
        <f t="shared" si="123"/>
        <v/>
      </c>
      <c r="AA473" s="112" t="str">
        <f t="shared" si="124"/>
        <v/>
      </c>
      <c r="AB473" s="112" t="str">
        <f t="shared" si="125"/>
        <v/>
      </c>
      <c r="AC473" s="112" t="str">
        <f t="shared" si="126"/>
        <v/>
      </c>
      <c r="AD473" s="112" t="str">
        <f t="shared" si="127"/>
        <v/>
      </c>
    </row>
    <row r="474" spans="1:30" x14ac:dyDescent="0.2">
      <c r="A474" s="112" t="str">
        <f>IF(SUM(Q474:R474)=1,1+MAX($A$1:A473),"")</f>
        <v/>
      </c>
      <c r="B474" s="112">
        <f>IF(SUM(X474:Y474)=1,1+MAX($B$1:B473),"")</f>
        <v>43</v>
      </c>
      <c r="C474" s="112" t="str">
        <f>IF(SUM(Q474:R474,X474:Y474)=2,1+MAX($C$1:C473),"")</f>
        <v/>
      </c>
      <c r="D474" s="113">
        <v>31565</v>
      </c>
      <c r="E474" s="112">
        <v>1986</v>
      </c>
      <c r="F474" s="112" t="s">
        <v>2689</v>
      </c>
      <c r="G474" s="112" t="s">
        <v>2690</v>
      </c>
      <c r="H474" s="114" t="s">
        <v>1134</v>
      </c>
      <c r="I474" s="112">
        <f t="shared" si="112"/>
        <v>3</v>
      </c>
      <c r="J474" s="112">
        <f t="shared" si="113"/>
        <v>1</v>
      </c>
      <c r="K474" s="115" t="s">
        <v>2543</v>
      </c>
      <c r="L474" s="115" t="s">
        <v>2969</v>
      </c>
      <c r="M474" s="115" t="s">
        <v>2997</v>
      </c>
      <c r="N474" s="115">
        <v>60000</v>
      </c>
      <c r="O474" s="112">
        <v>1</v>
      </c>
      <c r="P474" s="116" t="s">
        <v>2663</v>
      </c>
      <c r="Q474" s="112" t="str">
        <f t="shared" si="114"/>
        <v/>
      </c>
      <c r="R474" s="112" t="str">
        <f t="shared" si="115"/>
        <v/>
      </c>
      <c r="S474" s="112" t="str">
        <f t="shared" si="118"/>
        <v/>
      </c>
      <c r="T474" s="112" t="str">
        <f t="shared" si="119"/>
        <v/>
      </c>
      <c r="U474" s="112" t="str">
        <f t="shared" si="120"/>
        <v/>
      </c>
      <c r="V474" s="112" t="str">
        <f t="shared" si="121"/>
        <v/>
      </c>
      <c r="W474" s="112" t="str">
        <f t="shared" si="122"/>
        <v/>
      </c>
      <c r="X474" s="112">
        <f t="shared" si="116"/>
        <v>1</v>
      </c>
      <c r="Y474" s="112" t="str">
        <f t="shared" si="117"/>
        <v/>
      </c>
      <c r="Z474" s="112">
        <f t="shared" si="123"/>
        <v>1</v>
      </c>
      <c r="AA474" s="112">
        <f t="shared" si="124"/>
        <v>0</v>
      </c>
      <c r="AB474" s="112">
        <f t="shared" si="125"/>
        <v>0</v>
      </c>
      <c r="AC474" s="112">
        <f t="shared" si="126"/>
        <v>4</v>
      </c>
      <c r="AD474" s="112">
        <f t="shared" si="127"/>
        <v>2</v>
      </c>
    </row>
    <row r="475" spans="1:30" x14ac:dyDescent="0.2">
      <c r="A475" s="112" t="str">
        <f>IF(SUM(Q475:R475)=1,1+MAX($A$1:A474),"")</f>
        <v/>
      </c>
      <c r="B475" s="112" t="str">
        <f>IF(SUM(X475:Y475)=1,1+MAX($B$1:B474),"")</f>
        <v/>
      </c>
      <c r="C475" s="112" t="str">
        <f>IF(SUM(Q475:R475,X475:Y475)=2,1+MAX($C$1:C474),"")</f>
        <v/>
      </c>
      <c r="D475" s="113">
        <v>31564</v>
      </c>
      <c r="E475" s="112">
        <v>1986</v>
      </c>
      <c r="F475" s="112" t="s">
        <v>2672</v>
      </c>
      <c r="G475" s="112" t="s">
        <v>2673</v>
      </c>
      <c r="H475" s="114" t="s">
        <v>1442</v>
      </c>
      <c r="I475" s="112">
        <f t="shared" si="112"/>
        <v>1</v>
      </c>
      <c r="J475" s="112">
        <f t="shared" si="113"/>
        <v>0</v>
      </c>
      <c r="K475" s="115" t="s">
        <v>2557</v>
      </c>
      <c r="L475" s="115" t="s">
        <v>2961</v>
      </c>
      <c r="M475" s="115" t="s">
        <v>2998</v>
      </c>
      <c r="N475" s="115">
        <v>35748</v>
      </c>
      <c r="O475" s="112">
        <v>1</v>
      </c>
      <c r="P475" s="116" t="s">
        <v>2622</v>
      </c>
      <c r="Q475" s="112" t="str">
        <f t="shared" si="114"/>
        <v/>
      </c>
      <c r="R475" s="112" t="str">
        <f t="shared" si="115"/>
        <v/>
      </c>
      <c r="S475" s="112" t="str">
        <f t="shared" si="118"/>
        <v/>
      </c>
      <c r="T475" s="112" t="str">
        <f t="shared" si="119"/>
        <v/>
      </c>
      <c r="U475" s="112" t="str">
        <f t="shared" si="120"/>
        <v/>
      </c>
      <c r="V475" s="112" t="str">
        <f t="shared" si="121"/>
        <v/>
      </c>
      <c r="W475" s="112" t="str">
        <f t="shared" si="122"/>
        <v/>
      </c>
      <c r="X475" s="112" t="str">
        <f t="shared" si="116"/>
        <v/>
      </c>
      <c r="Y475" s="112" t="str">
        <f t="shared" si="117"/>
        <v/>
      </c>
      <c r="Z475" s="112" t="str">
        <f t="shared" si="123"/>
        <v/>
      </c>
      <c r="AA475" s="112" t="str">
        <f t="shared" si="124"/>
        <v/>
      </c>
      <c r="AB475" s="112" t="str">
        <f t="shared" si="125"/>
        <v/>
      </c>
      <c r="AC475" s="112" t="str">
        <f t="shared" si="126"/>
        <v/>
      </c>
      <c r="AD475" s="112" t="str">
        <f t="shared" si="127"/>
        <v/>
      </c>
    </row>
    <row r="476" spans="1:30" x14ac:dyDescent="0.2">
      <c r="A476" s="112" t="str">
        <f>IF(SUM(Q476:R476)=1,1+MAX($A$1:A475),"")</f>
        <v/>
      </c>
      <c r="B476" s="112" t="str">
        <f>IF(SUM(X476:Y476)=1,1+MAX($B$1:B475),"")</f>
        <v/>
      </c>
      <c r="C476" s="112" t="str">
        <f>IF(SUM(Q476:R476,X476:Y476)=2,1+MAX($C$1:C475),"")</f>
        <v/>
      </c>
      <c r="D476" s="113">
        <v>31564</v>
      </c>
      <c r="E476" s="112">
        <v>1986</v>
      </c>
      <c r="F476" s="112" t="s">
        <v>2677</v>
      </c>
      <c r="G476" s="112" t="s">
        <v>2678</v>
      </c>
      <c r="H476" s="114" t="s">
        <v>2698</v>
      </c>
      <c r="I476" s="112">
        <f t="shared" si="112"/>
        <v>0</v>
      </c>
      <c r="J476" s="112">
        <f t="shared" si="113"/>
        <v>1</v>
      </c>
      <c r="K476" s="115" t="s">
        <v>2541</v>
      </c>
      <c r="L476" s="115" t="s">
        <v>2971</v>
      </c>
      <c r="M476" s="115" t="s">
        <v>2952</v>
      </c>
      <c r="N476" s="115">
        <v>36000</v>
      </c>
      <c r="O476" s="112">
        <v>2</v>
      </c>
      <c r="P476" s="116" t="s">
        <v>2601</v>
      </c>
      <c r="Q476" s="112" t="str">
        <f t="shared" si="114"/>
        <v/>
      </c>
      <c r="R476" s="112" t="str">
        <f t="shared" si="115"/>
        <v/>
      </c>
      <c r="S476" s="112" t="str">
        <f t="shared" si="118"/>
        <v/>
      </c>
      <c r="T476" s="112" t="str">
        <f t="shared" si="119"/>
        <v/>
      </c>
      <c r="U476" s="112" t="str">
        <f t="shared" si="120"/>
        <v/>
      </c>
      <c r="V476" s="112" t="str">
        <f t="shared" si="121"/>
        <v/>
      </c>
      <c r="W476" s="112" t="str">
        <f t="shared" si="122"/>
        <v/>
      </c>
      <c r="X476" s="112" t="str">
        <f t="shared" si="116"/>
        <v/>
      </c>
      <c r="Y476" s="112" t="str">
        <f t="shared" si="117"/>
        <v/>
      </c>
      <c r="Z476" s="112" t="str">
        <f t="shared" si="123"/>
        <v/>
      </c>
      <c r="AA476" s="112" t="str">
        <f t="shared" si="124"/>
        <v/>
      </c>
      <c r="AB476" s="112" t="str">
        <f t="shared" si="125"/>
        <v/>
      </c>
      <c r="AC476" s="112" t="str">
        <f t="shared" si="126"/>
        <v/>
      </c>
      <c r="AD476" s="112" t="str">
        <f t="shared" si="127"/>
        <v/>
      </c>
    </row>
    <row r="477" spans="1:30" x14ac:dyDescent="0.2">
      <c r="A477" s="112" t="str">
        <f>IF(SUM(Q477:R477)=1,1+MAX($A$1:A476),"")</f>
        <v/>
      </c>
      <c r="B477" s="112" t="str">
        <f>IF(SUM(X477:Y477)=1,1+MAX($B$1:B476),"")</f>
        <v/>
      </c>
      <c r="C477" s="112" t="str">
        <f>IF(SUM(Q477:R477,X477:Y477)=2,1+MAX($C$1:C476),"")</f>
        <v/>
      </c>
      <c r="D477" s="113">
        <v>31563</v>
      </c>
      <c r="E477" s="112">
        <v>1986</v>
      </c>
      <c r="F477" s="112" t="s">
        <v>2689</v>
      </c>
      <c r="G477" s="112" t="s">
        <v>2690</v>
      </c>
      <c r="H477" s="114" t="s">
        <v>2631</v>
      </c>
      <c r="I477" s="112">
        <f t="shared" si="112"/>
        <v>1</v>
      </c>
      <c r="J477" s="112">
        <f t="shared" si="113"/>
        <v>1</v>
      </c>
      <c r="K477" s="115" t="s">
        <v>2674</v>
      </c>
      <c r="L477" s="115" t="s">
        <v>2957</v>
      </c>
      <c r="M477" s="115" t="s">
        <v>2953</v>
      </c>
      <c r="N477" s="115">
        <v>96000</v>
      </c>
      <c r="O477" s="112">
        <v>1</v>
      </c>
      <c r="P477" s="116" t="s">
        <v>2645</v>
      </c>
      <c r="Q477" s="112" t="str">
        <f t="shared" si="114"/>
        <v/>
      </c>
      <c r="R477" s="112" t="str">
        <f t="shared" si="115"/>
        <v/>
      </c>
      <c r="S477" s="112" t="str">
        <f t="shared" si="118"/>
        <v/>
      </c>
      <c r="T477" s="112" t="str">
        <f t="shared" si="119"/>
        <v/>
      </c>
      <c r="U477" s="112" t="str">
        <f t="shared" si="120"/>
        <v/>
      </c>
      <c r="V477" s="112" t="str">
        <f t="shared" si="121"/>
        <v/>
      </c>
      <c r="W477" s="112" t="str">
        <f t="shared" si="122"/>
        <v/>
      </c>
      <c r="X477" s="112" t="str">
        <f t="shared" si="116"/>
        <v/>
      </c>
      <c r="Y477" s="112" t="str">
        <f t="shared" si="117"/>
        <v/>
      </c>
      <c r="Z477" s="112" t="str">
        <f t="shared" si="123"/>
        <v/>
      </c>
      <c r="AA477" s="112" t="str">
        <f t="shared" si="124"/>
        <v/>
      </c>
      <c r="AB477" s="112" t="str">
        <f t="shared" si="125"/>
        <v/>
      </c>
      <c r="AC477" s="112" t="str">
        <f t="shared" si="126"/>
        <v/>
      </c>
      <c r="AD477" s="112" t="str">
        <f t="shared" si="127"/>
        <v/>
      </c>
    </row>
    <row r="478" spans="1:30" x14ac:dyDescent="0.2">
      <c r="A478" s="112" t="str">
        <f>IF(SUM(Q478:R478)=1,1+MAX($A$1:A477),"")</f>
        <v/>
      </c>
      <c r="B478" s="112" t="str">
        <f>IF(SUM(X478:Y478)=1,1+MAX($B$1:B477),"")</f>
        <v/>
      </c>
      <c r="C478" s="112" t="str">
        <f>IF(SUM(Q478:R478,X478:Y478)=2,1+MAX($C$1:C477),"")</f>
        <v/>
      </c>
      <c r="D478" s="113">
        <v>30143</v>
      </c>
      <c r="E478" s="112">
        <v>1982</v>
      </c>
      <c r="F478" s="112" t="s">
        <v>2597</v>
      </c>
      <c r="H478" s="114" t="s">
        <v>2547</v>
      </c>
      <c r="I478" s="112">
        <f t="shared" si="112"/>
        <v>1</v>
      </c>
      <c r="J478" s="112">
        <f t="shared" si="113"/>
        <v>3</v>
      </c>
      <c r="K478" s="115" t="s">
        <v>2674</v>
      </c>
      <c r="L478" s="115" t="s">
        <v>2999</v>
      </c>
      <c r="M478" s="115" t="s">
        <v>3000</v>
      </c>
      <c r="N478" s="115">
        <v>90000</v>
      </c>
      <c r="O478" s="112">
        <v>2</v>
      </c>
      <c r="P478" s="116" t="s">
        <v>2691</v>
      </c>
      <c r="Q478" s="112" t="str">
        <f t="shared" si="114"/>
        <v/>
      </c>
      <c r="R478" s="112" t="str">
        <f t="shared" si="115"/>
        <v/>
      </c>
      <c r="S478" s="112" t="str">
        <f t="shared" si="118"/>
        <v/>
      </c>
      <c r="T478" s="112" t="str">
        <f t="shared" si="119"/>
        <v/>
      </c>
      <c r="U478" s="112" t="str">
        <f t="shared" si="120"/>
        <v/>
      </c>
      <c r="V478" s="112" t="str">
        <f t="shared" si="121"/>
        <v/>
      </c>
      <c r="W478" s="112" t="str">
        <f t="shared" si="122"/>
        <v/>
      </c>
      <c r="X478" s="112" t="str">
        <f t="shared" si="116"/>
        <v/>
      </c>
      <c r="Y478" s="112" t="str">
        <f t="shared" si="117"/>
        <v/>
      </c>
      <c r="Z478" s="112" t="str">
        <f t="shared" si="123"/>
        <v/>
      </c>
      <c r="AA478" s="112" t="str">
        <f t="shared" si="124"/>
        <v/>
      </c>
      <c r="AB478" s="112" t="str">
        <f t="shared" si="125"/>
        <v/>
      </c>
      <c r="AC478" s="112" t="str">
        <f t="shared" si="126"/>
        <v/>
      </c>
      <c r="AD478" s="112" t="str">
        <f t="shared" si="127"/>
        <v/>
      </c>
    </row>
    <row r="479" spans="1:30" x14ac:dyDescent="0.2">
      <c r="A479" s="112" t="str">
        <f>IF(SUM(Q479:R479)=1,1+MAX($A$1:A478),"")</f>
        <v/>
      </c>
      <c r="B479" s="112" t="str">
        <f>IF(SUM(X479:Y479)=1,1+MAX($B$1:B478),"")</f>
        <v/>
      </c>
      <c r="C479" s="112" t="str">
        <f>IF(SUM(Q479:R479,X479:Y479)=2,1+MAX($C$1:C478),"")</f>
        <v/>
      </c>
      <c r="D479" s="113">
        <v>30142</v>
      </c>
      <c r="E479" s="112">
        <v>1982</v>
      </c>
      <c r="F479" s="112" t="s">
        <v>2602</v>
      </c>
      <c r="H479" s="114" t="s">
        <v>2541</v>
      </c>
      <c r="I479" s="112">
        <f t="shared" si="112"/>
        <v>2</v>
      </c>
      <c r="J479" s="112">
        <f t="shared" si="113"/>
        <v>3</v>
      </c>
      <c r="K479" s="115" t="s">
        <v>2544</v>
      </c>
      <c r="L479" s="115" t="s">
        <v>3001</v>
      </c>
      <c r="M479" s="115" t="s">
        <v>3002</v>
      </c>
      <c r="N479" s="115">
        <v>28000</v>
      </c>
      <c r="O479" s="112">
        <v>2</v>
      </c>
      <c r="P479" s="116" t="s">
        <v>2706</v>
      </c>
      <c r="Q479" s="112" t="str">
        <f t="shared" si="114"/>
        <v/>
      </c>
      <c r="R479" s="112" t="str">
        <f t="shared" si="115"/>
        <v/>
      </c>
      <c r="S479" s="112" t="str">
        <f t="shared" si="118"/>
        <v/>
      </c>
      <c r="T479" s="112" t="str">
        <f t="shared" si="119"/>
        <v/>
      </c>
      <c r="U479" s="112" t="str">
        <f t="shared" si="120"/>
        <v/>
      </c>
      <c r="V479" s="112" t="str">
        <f t="shared" si="121"/>
        <v/>
      </c>
      <c r="W479" s="112" t="str">
        <f t="shared" si="122"/>
        <v/>
      </c>
      <c r="X479" s="112" t="str">
        <f t="shared" si="116"/>
        <v/>
      </c>
      <c r="Y479" s="112" t="str">
        <f t="shared" si="117"/>
        <v/>
      </c>
      <c r="Z479" s="112" t="str">
        <f t="shared" si="123"/>
        <v/>
      </c>
      <c r="AA479" s="112" t="str">
        <f t="shared" si="124"/>
        <v/>
      </c>
      <c r="AB479" s="112" t="str">
        <f t="shared" si="125"/>
        <v/>
      </c>
      <c r="AC479" s="112" t="str">
        <f t="shared" si="126"/>
        <v/>
      </c>
      <c r="AD479" s="112" t="str">
        <f t="shared" si="127"/>
        <v/>
      </c>
    </row>
    <row r="480" spans="1:30" x14ac:dyDescent="0.2">
      <c r="A480" s="112" t="str">
        <f>IF(SUM(Q480:R480)=1,1+MAX($A$1:A479),"")</f>
        <v/>
      </c>
      <c r="B480" s="112" t="str">
        <f>IF(SUM(X480:Y480)=1,1+MAX($B$1:B479),"")</f>
        <v/>
      </c>
      <c r="C480" s="112" t="str">
        <f>IF(SUM(Q480:R480,X480:Y480)=2,1+MAX($C$1:C479),"")</f>
        <v/>
      </c>
      <c r="D480" s="113">
        <v>30140</v>
      </c>
      <c r="E480" s="112">
        <v>1982</v>
      </c>
      <c r="F480" s="112" t="s">
        <v>2609</v>
      </c>
      <c r="H480" s="114" t="s">
        <v>2541</v>
      </c>
      <c r="I480" s="112">
        <f t="shared" si="112"/>
        <v>3</v>
      </c>
      <c r="J480" s="112">
        <f t="shared" si="113"/>
        <v>3</v>
      </c>
      <c r="K480" s="115" t="s">
        <v>2547</v>
      </c>
      <c r="L480" s="115" t="s">
        <v>3003</v>
      </c>
      <c r="M480" s="115" t="s">
        <v>3004</v>
      </c>
      <c r="N480" s="115">
        <v>70000</v>
      </c>
      <c r="O480" s="112">
        <v>2</v>
      </c>
      <c r="P480" s="116" t="s">
        <v>2837</v>
      </c>
      <c r="Q480" s="112" t="str">
        <f t="shared" si="114"/>
        <v/>
      </c>
      <c r="R480" s="112" t="str">
        <f t="shared" si="115"/>
        <v/>
      </c>
      <c r="S480" s="112" t="str">
        <f t="shared" si="118"/>
        <v/>
      </c>
      <c r="T480" s="112" t="str">
        <f t="shared" si="119"/>
        <v/>
      </c>
      <c r="U480" s="112" t="str">
        <f t="shared" si="120"/>
        <v/>
      </c>
      <c r="V480" s="112" t="str">
        <f t="shared" si="121"/>
        <v/>
      </c>
      <c r="W480" s="112" t="str">
        <f t="shared" si="122"/>
        <v/>
      </c>
      <c r="X480" s="112" t="str">
        <f t="shared" si="116"/>
        <v/>
      </c>
      <c r="Y480" s="112" t="str">
        <f t="shared" si="117"/>
        <v/>
      </c>
      <c r="Z480" s="112" t="str">
        <f t="shared" si="123"/>
        <v/>
      </c>
      <c r="AA480" s="112" t="str">
        <f t="shared" si="124"/>
        <v/>
      </c>
      <c r="AB480" s="112" t="str">
        <f t="shared" si="125"/>
        <v/>
      </c>
      <c r="AC480" s="112" t="str">
        <f t="shared" si="126"/>
        <v/>
      </c>
      <c r="AD480" s="112" t="str">
        <f t="shared" si="127"/>
        <v/>
      </c>
    </row>
    <row r="481" spans="1:30" x14ac:dyDescent="0.2">
      <c r="A481" s="112" t="str">
        <f>IF(SUM(Q481:R481)=1,1+MAX($A$1:A480),"")</f>
        <v/>
      </c>
      <c r="B481" s="112" t="str">
        <f>IF(SUM(X481:Y481)=1,1+MAX($B$1:B480),"")</f>
        <v/>
      </c>
      <c r="C481" s="112" t="str">
        <f>IF(SUM(Q481:R481,X481:Y481)=2,1+MAX($C$1:C480),"")</f>
        <v/>
      </c>
      <c r="D481" s="113">
        <v>30140</v>
      </c>
      <c r="E481" s="112">
        <v>1982</v>
      </c>
      <c r="F481" s="112" t="s">
        <v>2609</v>
      </c>
      <c r="H481" s="114" t="s">
        <v>2674</v>
      </c>
      <c r="I481" s="112">
        <f t="shared" si="112"/>
        <v>2</v>
      </c>
      <c r="J481" s="112">
        <f t="shared" si="113"/>
        <v>0</v>
      </c>
      <c r="K481" s="115" t="s">
        <v>2544</v>
      </c>
      <c r="L481" s="115" t="s">
        <v>3005</v>
      </c>
      <c r="M481" s="115" t="s">
        <v>2956</v>
      </c>
      <c r="N481" s="115">
        <v>50000</v>
      </c>
      <c r="O481" s="112">
        <v>2</v>
      </c>
      <c r="P481" s="116" t="s">
        <v>2641</v>
      </c>
      <c r="Q481" s="112" t="str">
        <f t="shared" si="114"/>
        <v/>
      </c>
      <c r="R481" s="112" t="str">
        <f t="shared" si="115"/>
        <v/>
      </c>
      <c r="S481" s="112" t="str">
        <f t="shared" si="118"/>
        <v/>
      </c>
      <c r="T481" s="112" t="str">
        <f t="shared" si="119"/>
        <v/>
      </c>
      <c r="U481" s="112" t="str">
        <f t="shared" si="120"/>
        <v/>
      </c>
      <c r="V481" s="112" t="str">
        <f t="shared" si="121"/>
        <v/>
      </c>
      <c r="W481" s="112" t="str">
        <f t="shared" si="122"/>
        <v/>
      </c>
      <c r="X481" s="112" t="str">
        <f t="shared" si="116"/>
        <v/>
      </c>
      <c r="Y481" s="112" t="str">
        <f t="shared" si="117"/>
        <v/>
      </c>
      <c r="Z481" s="112" t="str">
        <f t="shared" si="123"/>
        <v/>
      </c>
      <c r="AA481" s="112" t="str">
        <f t="shared" si="124"/>
        <v/>
      </c>
      <c r="AB481" s="112" t="str">
        <f t="shared" si="125"/>
        <v/>
      </c>
      <c r="AC481" s="112" t="str">
        <f t="shared" si="126"/>
        <v/>
      </c>
      <c r="AD481" s="112" t="str">
        <f t="shared" si="127"/>
        <v/>
      </c>
    </row>
    <row r="482" spans="1:30" x14ac:dyDescent="0.2">
      <c r="A482" s="112" t="str">
        <f>IF(SUM(Q482:R482)=1,1+MAX($A$1:A481),"")</f>
        <v/>
      </c>
      <c r="B482" s="112" t="str">
        <f>IF(SUM(X482:Y482)=1,1+MAX($B$1:B481),"")</f>
        <v/>
      </c>
      <c r="C482" s="112" t="str">
        <f>IF(SUM(Q482:R482,X482:Y482)=2,1+MAX($C$1:C481),"")</f>
        <v/>
      </c>
      <c r="D482" s="113">
        <v>30137</v>
      </c>
      <c r="E482" s="112">
        <v>1982</v>
      </c>
      <c r="F482" s="112" t="s">
        <v>2677</v>
      </c>
      <c r="G482" s="112" t="s">
        <v>2678</v>
      </c>
      <c r="H482" s="114" t="s">
        <v>1442</v>
      </c>
      <c r="I482" s="112">
        <f t="shared" si="112"/>
        <v>2</v>
      </c>
      <c r="J482" s="112">
        <f t="shared" si="113"/>
        <v>3</v>
      </c>
      <c r="K482" s="115" t="s">
        <v>2674</v>
      </c>
      <c r="L482" s="115" t="s">
        <v>3006</v>
      </c>
      <c r="M482" s="115" t="s">
        <v>3007</v>
      </c>
      <c r="N482" s="115">
        <v>44000</v>
      </c>
      <c r="O482" s="112">
        <v>2</v>
      </c>
      <c r="P482" s="116" t="s">
        <v>2706</v>
      </c>
      <c r="Q482" s="112" t="str">
        <f t="shared" si="114"/>
        <v/>
      </c>
      <c r="R482" s="112" t="str">
        <f t="shared" si="115"/>
        <v/>
      </c>
      <c r="S482" s="112" t="str">
        <f t="shared" si="118"/>
        <v/>
      </c>
      <c r="T482" s="112" t="str">
        <f t="shared" si="119"/>
        <v/>
      </c>
      <c r="U482" s="112" t="str">
        <f t="shared" si="120"/>
        <v/>
      </c>
      <c r="V482" s="112" t="str">
        <f t="shared" si="121"/>
        <v/>
      </c>
      <c r="W482" s="112" t="str">
        <f t="shared" si="122"/>
        <v/>
      </c>
      <c r="X482" s="112" t="str">
        <f t="shared" si="116"/>
        <v/>
      </c>
      <c r="Y482" s="112" t="str">
        <f t="shared" si="117"/>
        <v/>
      </c>
      <c r="Z482" s="112" t="str">
        <f t="shared" si="123"/>
        <v/>
      </c>
      <c r="AA482" s="112" t="str">
        <f t="shared" si="124"/>
        <v/>
      </c>
      <c r="AB482" s="112" t="str">
        <f t="shared" si="125"/>
        <v/>
      </c>
      <c r="AC482" s="112" t="str">
        <f t="shared" si="126"/>
        <v/>
      </c>
      <c r="AD482" s="112" t="str">
        <f t="shared" si="127"/>
        <v/>
      </c>
    </row>
    <row r="483" spans="1:30" x14ac:dyDescent="0.2">
      <c r="A483" s="112">
        <f>IF(SUM(Q483:R483)=1,1+MAX($A$1:A482),"")</f>
        <v>34</v>
      </c>
      <c r="B483" s="112" t="str">
        <f>IF(SUM(X483:Y483)=1,1+MAX($B$1:B482),"")</f>
        <v/>
      </c>
      <c r="C483" s="112" t="str">
        <f>IF(SUM(Q483:R483,X483:Y483)=2,1+MAX($C$1:C482),"")</f>
        <v/>
      </c>
      <c r="D483" s="113">
        <v>30137</v>
      </c>
      <c r="E483" s="112">
        <v>1982</v>
      </c>
      <c r="F483" s="112" t="s">
        <v>2684</v>
      </c>
      <c r="G483" s="112" t="s">
        <v>2685</v>
      </c>
      <c r="H483" s="114" t="s">
        <v>2545</v>
      </c>
      <c r="I483" s="112">
        <f t="shared" si="112"/>
        <v>0</v>
      </c>
      <c r="J483" s="112">
        <f t="shared" si="113"/>
        <v>0</v>
      </c>
      <c r="K483" s="115" t="s">
        <v>2557</v>
      </c>
      <c r="L483" s="115" t="s">
        <v>2999</v>
      </c>
      <c r="M483" s="115" t="s">
        <v>2974</v>
      </c>
      <c r="N483" s="115">
        <v>75000</v>
      </c>
      <c r="O483" s="112">
        <v>2</v>
      </c>
      <c r="P483" s="116" t="s">
        <v>2613</v>
      </c>
      <c r="Q483" s="112">
        <f t="shared" si="114"/>
        <v>1</v>
      </c>
      <c r="R483" s="112" t="str">
        <f t="shared" si="115"/>
        <v/>
      </c>
      <c r="S483" s="112">
        <f t="shared" si="118"/>
        <v>0</v>
      </c>
      <c r="T483" s="112">
        <f t="shared" si="119"/>
        <v>1</v>
      </c>
      <c r="U483" s="112">
        <f t="shared" si="120"/>
        <v>0</v>
      </c>
      <c r="V483" s="112">
        <f t="shared" si="121"/>
        <v>0</v>
      </c>
      <c r="W483" s="112">
        <f t="shared" si="122"/>
        <v>0</v>
      </c>
      <c r="X483" s="112" t="str">
        <f t="shared" si="116"/>
        <v/>
      </c>
      <c r="Y483" s="112" t="str">
        <f t="shared" si="117"/>
        <v/>
      </c>
      <c r="Z483" s="112" t="str">
        <f t="shared" si="123"/>
        <v/>
      </c>
      <c r="AA483" s="112" t="str">
        <f t="shared" si="124"/>
        <v/>
      </c>
      <c r="AB483" s="112" t="str">
        <f t="shared" si="125"/>
        <v/>
      </c>
      <c r="AC483" s="112" t="str">
        <f t="shared" si="126"/>
        <v/>
      </c>
      <c r="AD483" s="112" t="str">
        <f t="shared" si="127"/>
        <v/>
      </c>
    </row>
    <row r="484" spans="1:30" x14ac:dyDescent="0.2">
      <c r="A484" s="112" t="str">
        <f>IF(SUM(Q484:R484)=1,1+MAX($A$1:A483),"")</f>
        <v/>
      </c>
      <c r="B484" s="112" t="str">
        <f>IF(SUM(X484:Y484)=1,1+MAX($B$1:B483),"")</f>
        <v/>
      </c>
      <c r="C484" s="112" t="str">
        <f>IF(SUM(Q484:R484,X484:Y484)=2,1+MAX($C$1:C483),"")</f>
        <v/>
      </c>
      <c r="D484" s="113">
        <v>30136</v>
      </c>
      <c r="E484" s="112">
        <v>1982</v>
      </c>
      <c r="F484" s="112" t="s">
        <v>2672</v>
      </c>
      <c r="G484" s="112" t="s">
        <v>2673</v>
      </c>
      <c r="H484" s="114" t="s">
        <v>2541</v>
      </c>
      <c r="I484" s="112">
        <f t="shared" si="112"/>
        <v>4</v>
      </c>
      <c r="J484" s="112">
        <f t="shared" si="113"/>
        <v>1</v>
      </c>
      <c r="K484" s="115" t="s">
        <v>2715</v>
      </c>
      <c r="L484" s="115" t="s">
        <v>3008</v>
      </c>
      <c r="M484" s="115" t="s">
        <v>3009</v>
      </c>
      <c r="N484" s="115">
        <v>37000</v>
      </c>
      <c r="O484" s="112">
        <v>2</v>
      </c>
      <c r="P484" s="116" t="s">
        <v>2683</v>
      </c>
      <c r="Q484" s="112" t="str">
        <f t="shared" si="114"/>
        <v/>
      </c>
      <c r="R484" s="112" t="str">
        <f t="shared" si="115"/>
        <v/>
      </c>
      <c r="S484" s="112" t="str">
        <f t="shared" si="118"/>
        <v/>
      </c>
      <c r="T484" s="112" t="str">
        <f t="shared" si="119"/>
        <v/>
      </c>
      <c r="U484" s="112" t="str">
        <f t="shared" si="120"/>
        <v/>
      </c>
      <c r="V484" s="112" t="str">
        <f t="shared" si="121"/>
        <v/>
      </c>
      <c r="W484" s="112" t="str">
        <f t="shared" si="122"/>
        <v/>
      </c>
      <c r="X484" s="112" t="str">
        <f t="shared" si="116"/>
        <v/>
      </c>
      <c r="Y484" s="112" t="str">
        <f t="shared" si="117"/>
        <v/>
      </c>
      <c r="Z484" s="112" t="str">
        <f t="shared" si="123"/>
        <v/>
      </c>
      <c r="AA484" s="112" t="str">
        <f t="shared" si="124"/>
        <v/>
      </c>
      <c r="AB484" s="112" t="str">
        <f t="shared" si="125"/>
        <v/>
      </c>
      <c r="AC484" s="112" t="str">
        <f t="shared" si="126"/>
        <v/>
      </c>
      <c r="AD484" s="112" t="str">
        <f t="shared" si="127"/>
        <v/>
      </c>
    </row>
    <row r="485" spans="1:30" x14ac:dyDescent="0.2">
      <c r="A485" s="112" t="str">
        <f>IF(SUM(Q485:R485)=1,1+MAX($A$1:A484),"")</f>
        <v/>
      </c>
      <c r="B485" s="112" t="str">
        <f>IF(SUM(X485:Y485)=1,1+MAX($B$1:B484),"")</f>
        <v/>
      </c>
      <c r="C485" s="112" t="str">
        <f>IF(SUM(Q485:R485,X485:Y485)=2,1+MAX($C$1:C484),"")</f>
        <v/>
      </c>
      <c r="D485" s="113">
        <v>30136</v>
      </c>
      <c r="E485" s="112">
        <v>1982</v>
      </c>
      <c r="F485" s="112" t="s">
        <v>2689</v>
      </c>
      <c r="G485" s="112" t="s">
        <v>2690</v>
      </c>
      <c r="H485" s="114" t="s">
        <v>2544</v>
      </c>
      <c r="I485" s="112">
        <f t="shared" si="112"/>
        <v>0</v>
      </c>
      <c r="J485" s="112">
        <f t="shared" si="113"/>
        <v>0</v>
      </c>
      <c r="K485" s="115" t="s">
        <v>2720</v>
      </c>
      <c r="L485" s="115" t="s">
        <v>3005</v>
      </c>
      <c r="M485" s="115" t="s">
        <v>3010</v>
      </c>
      <c r="N485" s="115">
        <v>65000</v>
      </c>
      <c r="O485" s="112">
        <v>2</v>
      </c>
      <c r="P485" s="116" t="s">
        <v>2613</v>
      </c>
      <c r="Q485" s="112" t="str">
        <f t="shared" si="114"/>
        <v/>
      </c>
      <c r="R485" s="112" t="str">
        <f t="shared" si="115"/>
        <v/>
      </c>
      <c r="S485" s="112" t="str">
        <f t="shared" si="118"/>
        <v/>
      </c>
      <c r="T485" s="112" t="str">
        <f t="shared" si="119"/>
        <v/>
      </c>
      <c r="U485" s="112" t="str">
        <f t="shared" si="120"/>
        <v/>
      </c>
      <c r="V485" s="112" t="str">
        <f t="shared" si="121"/>
        <v/>
      </c>
      <c r="W485" s="112" t="str">
        <f t="shared" si="122"/>
        <v/>
      </c>
      <c r="X485" s="112" t="str">
        <f t="shared" si="116"/>
        <v/>
      </c>
      <c r="Y485" s="112" t="str">
        <f t="shared" si="117"/>
        <v/>
      </c>
      <c r="Z485" s="112" t="str">
        <f t="shared" si="123"/>
        <v/>
      </c>
      <c r="AA485" s="112" t="str">
        <f t="shared" si="124"/>
        <v/>
      </c>
      <c r="AB485" s="112" t="str">
        <f t="shared" si="125"/>
        <v/>
      </c>
      <c r="AC485" s="112" t="str">
        <f t="shared" si="126"/>
        <v/>
      </c>
      <c r="AD485" s="112" t="str">
        <f t="shared" si="127"/>
        <v/>
      </c>
    </row>
    <row r="486" spans="1:30" x14ac:dyDescent="0.2">
      <c r="A486" s="112" t="str">
        <f>IF(SUM(Q486:R486)=1,1+MAX($A$1:A485),"")</f>
        <v/>
      </c>
      <c r="B486" s="112">
        <f>IF(SUM(X486:Y486)=1,1+MAX($B$1:B485),"")</f>
        <v>44</v>
      </c>
      <c r="C486" s="112" t="str">
        <f>IF(SUM(Q486:R486,X486:Y486)=2,1+MAX($C$1:C485),"")</f>
        <v/>
      </c>
      <c r="D486" s="113">
        <v>30134</v>
      </c>
      <c r="E486" s="112">
        <v>1982</v>
      </c>
      <c r="F486" s="112" t="s">
        <v>2677</v>
      </c>
      <c r="G486" s="112" t="s">
        <v>2678</v>
      </c>
      <c r="H486" s="114" t="s">
        <v>1134</v>
      </c>
      <c r="I486" s="112">
        <f t="shared" si="112"/>
        <v>1</v>
      </c>
      <c r="J486" s="112">
        <f t="shared" si="113"/>
        <v>3</v>
      </c>
      <c r="K486" s="115" t="s">
        <v>1442</v>
      </c>
      <c r="L486" s="115" t="s">
        <v>3006</v>
      </c>
      <c r="M486" s="115" t="s">
        <v>3011</v>
      </c>
      <c r="N486" s="115">
        <v>43000</v>
      </c>
      <c r="O486" s="112">
        <v>2</v>
      </c>
      <c r="P486" s="116" t="s">
        <v>2691</v>
      </c>
      <c r="Q486" s="112" t="str">
        <f t="shared" si="114"/>
        <v/>
      </c>
      <c r="R486" s="112" t="str">
        <f t="shared" si="115"/>
        <v/>
      </c>
      <c r="S486" s="112" t="str">
        <f t="shared" si="118"/>
        <v/>
      </c>
      <c r="T486" s="112" t="str">
        <f t="shared" si="119"/>
        <v/>
      </c>
      <c r="U486" s="112" t="str">
        <f t="shared" si="120"/>
        <v/>
      </c>
      <c r="V486" s="112" t="str">
        <f t="shared" si="121"/>
        <v/>
      </c>
      <c r="W486" s="112" t="str">
        <f t="shared" si="122"/>
        <v/>
      </c>
      <c r="X486" s="112">
        <f t="shared" si="116"/>
        <v>1</v>
      </c>
      <c r="Y486" s="112" t="str">
        <f t="shared" si="117"/>
        <v/>
      </c>
      <c r="Z486" s="112">
        <f t="shared" si="123"/>
        <v>0</v>
      </c>
      <c r="AA486" s="112">
        <f t="shared" si="124"/>
        <v>0</v>
      </c>
      <c r="AB486" s="112">
        <f t="shared" si="125"/>
        <v>1</v>
      </c>
      <c r="AC486" s="112">
        <f t="shared" si="126"/>
        <v>4</v>
      </c>
      <c r="AD486" s="112">
        <f t="shared" si="127"/>
        <v>-2</v>
      </c>
    </row>
    <row r="487" spans="1:30" x14ac:dyDescent="0.2">
      <c r="A487" s="112" t="str">
        <f>IF(SUM(Q487:R487)=1,1+MAX($A$1:A486),"")</f>
        <v/>
      </c>
      <c r="B487" s="112" t="str">
        <f>IF(SUM(X487:Y487)=1,1+MAX($B$1:B486),"")</f>
        <v/>
      </c>
      <c r="C487" s="112" t="str">
        <f>IF(SUM(Q487:R487,X487:Y487)=2,1+MAX($C$1:C486),"")</f>
        <v/>
      </c>
      <c r="D487" s="113">
        <v>30134</v>
      </c>
      <c r="E487" s="112">
        <v>1982</v>
      </c>
      <c r="F487" s="112" t="s">
        <v>2684</v>
      </c>
      <c r="G487" s="112" t="s">
        <v>2685</v>
      </c>
      <c r="H487" s="114" t="s">
        <v>2547</v>
      </c>
      <c r="I487" s="112">
        <f t="shared" si="112"/>
        <v>2</v>
      </c>
      <c r="J487" s="112">
        <f t="shared" si="113"/>
        <v>1</v>
      </c>
      <c r="K487" s="115" t="s">
        <v>2557</v>
      </c>
      <c r="L487" s="115" t="s">
        <v>2999</v>
      </c>
      <c r="M487" s="115" t="s">
        <v>3012</v>
      </c>
      <c r="N487" s="115">
        <v>90089</v>
      </c>
      <c r="O487" s="112">
        <v>2</v>
      </c>
      <c r="P487" s="116" t="s">
        <v>2626</v>
      </c>
      <c r="Q487" s="112" t="str">
        <f t="shared" si="114"/>
        <v/>
      </c>
      <c r="R487" s="112" t="str">
        <f t="shared" si="115"/>
        <v/>
      </c>
      <c r="S487" s="112" t="str">
        <f t="shared" si="118"/>
        <v/>
      </c>
      <c r="T487" s="112" t="str">
        <f t="shared" si="119"/>
        <v/>
      </c>
      <c r="U487" s="112" t="str">
        <f t="shared" si="120"/>
        <v/>
      </c>
      <c r="V487" s="112" t="str">
        <f t="shared" si="121"/>
        <v/>
      </c>
      <c r="W487" s="112" t="str">
        <f t="shared" si="122"/>
        <v/>
      </c>
      <c r="X487" s="112" t="str">
        <f t="shared" si="116"/>
        <v/>
      </c>
      <c r="Y487" s="112" t="str">
        <f t="shared" si="117"/>
        <v/>
      </c>
      <c r="Z487" s="112" t="str">
        <f t="shared" si="123"/>
        <v/>
      </c>
      <c r="AA487" s="112" t="str">
        <f t="shared" si="124"/>
        <v/>
      </c>
      <c r="AB487" s="112" t="str">
        <f t="shared" si="125"/>
        <v/>
      </c>
      <c r="AC487" s="112" t="str">
        <f t="shared" si="126"/>
        <v/>
      </c>
      <c r="AD487" s="112" t="str">
        <f t="shared" si="127"/>
        <v/>
      </c>
    </row>
    <row r="488" spans="1:30" x14ac:dyDescent="0.2">
      <c r="A488" s="112" t="str">
        <f>IF(SUM(Q488:R488)=1,1+MAX($A$1:A487),"")</f>
        <v/>
      </c>
      <c r="B488" s="112" t="str">
        <f>IF(SUM(X488:Y488)=1,1+MAX($B$1:B487),"")</f>
        <v/>
      </c>
      <c r="C488" s="112" t="str">
        <f>IF(SUM(Q488:R488,X488:Y488)=2,1+MAX($C$1:C487),"")</f>
        <v/>
      </c>
      <c r="D488" s="113">
        <v>30133</v>
      </c>
      <c r="E488" s="112">
        <v>1982</v>
      </c>
      <c r="F488" s="112" t="s">
        <v>2672</v>
      </c>
      <c r="G488" s="112" t="s">
        <v>2673</v>
      </c>
      <c r="H488" s="114" t="s">
        <v>2623</v>
      </c>
      <c r="I488" s="112">
        <f t="shared" si="112"/>
        <v>2</v>
      </c>
      <c r="J488" s="112">
        <f t="shared" si="113"/>
        <v>2</v>
      </c>
      <c r="K488" s="115" t="s">
        <v>2715</v>
      </c>
      <c r="L488" s="115" t="s">
        <v>3008</v>
      </c>
      <c r="M488" s="115" t="s">
        <v>3013</v>
      </c>
      <c r="N488" s="115">
        <v>20000</v>
      </c>
      <c r="O488" s="112">
        <v>2</v>
      </c>
      <c r="P488" s="116" t="s">
        <v>2697</v>
      </c>
      <c r="Q488" s="112" t="str">
        <f t="shared" si="114"/>
        <v/>
      </c>
      <c r="R488" s="112" t="str">
        <f t="shared" si="115"/>
        <v/>
      </c>
      <c r="S488" s="112" t="str">
        <f t="shared" si="118"/>
        <v/>
      </c>
      <c r="T488" s="112" t="str">
        <f t="shared" si="119"/>
        <v/>
      </c>
      <c r="U488" s="112" t="str">
        <f t="shared" si="120"/>
        <v/>
      </c>
      <c r="V488" s="112" t="str">
        <f t="shared" si="121"/>
        <v/>
      </c>
      <c r="W488" s="112" t="str">
        <f t="shared" si="122"/>
        <v/>
      </c>
      <c r="X488" s="112" t="str">
        <f t="shared" si="116"/>
        <v/>
      </c>
      <c r="Y488" s="112" t="str">
        <f t="shared" si="117"/>
        <v/>
      </c>
      <c r="Z488" s="112" t="str">
        <f t="shared" si="123"/>
        <v/>
      </c>
      <c r="AA488" s="112" t="str">
        <f t="shared" si="124"/>
        <v/>
      </c>
      <c r="AB488" s="112" t="str">
        <f t="shared" si="125"/>
        <v/>
      </c>
      <c r="AC488" s="112" t="str">
        <f t="shared" si="126"/>
        <v/>
      </c>
      <c r="AD488" s="112" t="str">
        <f t="shared" si="127"/>
        <v/>
      </c>
    </row>
    <row r="489" spans="1:30" x14ac:dyDescent="0.2">
      <c r="A489" s="112" t="str">
        <f>IF(SUM(Q489:R489)=1,1+MAX($A$1:A488),"")</f>
        <v/>
      </c>
      <c r="B489" s="112" t="str">
        <f>IF(SUM(X489:Y489)=1,1+MAX($B$1:B488),"")</f>
        <v/>
      </c>
      <c r="C489" s="112" t="str">
        <f>IF(SUM(Q489:R489,X489:Y489)=2,1+MAX($C$1:C488),"")</f>
        <v/>
      </c>
      <c r="D489" s="113">
        <v>30133</v>
      </c>
      <c r="E489" s="112">
        <v>1982</v>
      </c>
      <c r="F489" s="112" t="s">
        <v>2689</v>
      </c>
      <c r="G489" s="112" t="s">
        <v>2690</v>
      </c>
      <c r="H489" s="114" t="s">
        <v>2554</v>
      </c>
      <c r="I489" s="112">
        <f t="shared" si="112"/>
        <v>0</v>
      </c>
      <c r="J489" s="112">
        <f t="shared" si="113"/>
        <v>1</v>
      </c>
      <c r="K489" s="115" t="s">
        <v>2720</v>
      </c>
      <c r="L489" s="115" t="s">
        <v>3005</v>
      </c>
      <c r="M489" s="115" t="s">
        <v>2926</v>
      </c>
      <c r="N489" s="115">
        <v>45000</v>
      </c>
      <c r="O489" s="112">
        <v>2</v>
      </c>
      <c r="P489" s="116" t="s">
        <v>2601</v>
      </c>
      <c r="Q489" s="112" t="str">
        <f t="shared" si="114"/>
        <v/>
      </c>
      <c r="R489" s="112" t="str">
        <f t="shared" si="115"/>
        <v/>
      </c>
      <c r="S489" s="112" t="str">
        <f t="shared" si="118"/>
        <v/>
      </c>
      <c r="T489" s="112" t="str">
        <f t="shared" si="119"/>
        <v/>
      </c>
      <c r="U489" s="112" t="str">
        <f t="shared" si="120"/>
        <v/>
      </c>
      <c r="V489" s="112" t="str">
        <f t="shared" si="121"/>
        <v/>
      </c>
      <c r="W489" s="112" t="str">
        <f t="shared" si="122"/>
        <v/>
      </c>
      <c r="X489" s="112" t="str">
        <f t="shared" si="116"/>
        <v/>
      </c>
      <c r="Y489" s="112" t="str">
        <f t="shared" si="117"/>
        <v/>
      </c>
      <c r="Z489" s="112" t="str">
        <f t="shared" si="123"/>
        <v/>
      </c>
      <c r="AA489" s="112" t="str">
        <f t="shared" si="124"/>
        <v/>
      </c>
      <c r="AB489" s="112" t="str">
        <f t="shared" si="125"/>
        <v/>
      </c>
      <c r="AC489" s="112" t="str">
        <f t="shared" si="126"/>
        <v/>
      </c>
      <c r="AD489" s="112" t="str">
        <f t="shared" si="127"/>
        <v/>
      </c>
    </row>
    <row r="490" spans="1:30" x14ac:dyDescent="0.2">
      <c r="A490" s="112" t="str">
        <f>IF(SUM(Q490:R490)=1,1+MAX($A$1:A489),"")</f>
        <v/>
      </c>
      <c r="B490" s="112">
        <f>IF(SUM(X490:Y490)=1,1+MAX($B$1:B489),"")</f>
        <v>45</v>
      </c>
      <c r="C490" s="112" t="str">
        <f>IF(SUM(Q490:R490,X490:Y490)=2,1+MAX($C$1:C489),"")</f>
        <v/>
      </c>
      <c r="D490" s="113">
        <v>30131</v>
      </c>
      <c r="E490" s="112">
        <v>1982</v>
      </c>
      <c r="F490" s="112" t="s">
        <v>2677</v>
      </c>
      <c r="G490" s="112" t="s">
        <v>2678</v>
      </c>
      <c r="H490" s="114" t="s">
        <v>1134</v>
      </c>
      <c r="I490" s="112">
        <f t="shared" si="112"/>
        <v>1</v>
      </c>
      <c r="J490" s="112">
        <f t="shared" si="113"/>
        <v>2</v>
      </c>
      <c r="K490" s="115" t="s">
        <v>2674</v>
      </c>
      <c r="L490" s="115" t="s">
        <v>3006</v>
      </c>
      <c r="M490" s="115" t="s">
        <v>3014</v>
      </c>
      <c r="N490" s="115">
        <v>43000</v>
      </c>
      <c r="O490" s="112">
        <v>2</v>
      </c>
      <c r="P490" s="116" t="s">
        <v>2638</v>
      </c>
      <c r="Q490" s="112" t="str">
        <f t="shared" si="114"/>
        <v/>
      </c>
      <c r="R490" s="112" t="str">
        <f t="shared" si="115"/>
        <v/>
      </c>
      <c r="S490" s="112" t="str">
        <f t="shared" si="118"/>
        <v/>
      </c>
      <c r="T490" s="112" t="str">
        <f t="shared" si="119"/>
        <v/>
      </c>
      <c r="U490" s="112" t="str">
        <f t="shared" si="120"/>
        <v/>
      </c>
      <c r="V490" s="112" t="str">
        <f t="shared" si="121"/>
        <v/>
      </c>
      <c r="W490" s="112" t="str">
        <f t="shared" si="122"/>
        <v/>
      </c>
      <c r="X490" s="112">
        <f t="shared" si="116"/>
        <v>1</v>
      </c>
      <c r="Y490" s="112" t="str">
        <f t="shared" si="117"/>
        <v/>
      </c>
      <c r="Z490" s="112">
        <f t="shared" si="123"/>
        <v>0</v>
      </c>
      <c r="AA490" s="112">
        <f t="shared" si="124"/>
        <v>0</v>
      </c>
      <c r="AB490" s="112">
        <f t="shared" si="125"/>
        <v>1</v>
      </c>
      <c r="AC490" s="112">
        <f t="shared" si="126"/>
        <v>3</v>
      </c>
      <c r="AD490" s="112">
        <f t="shared" si="127"/>
        <v>-1</v>
      </c>
    </row>
    <row r="491" spans="1:30" x14ac:dyDescent="0.2">
      <c r="A491" s="112">
        <f>IF(SUM(Q491:R491)=1,1+MAX($A$1:A490),"")</f>
        <v>35</v>
      </c>
      <c r="B491" s="112" t="str">
        <f>IF(SUM(X491:Y491)=1,1+MAX($B$1:B490),"")</f>
        <v/>
      </c>
      <c r="C491" s="112" t="str">
        <f>IF(SUM(Q491:R491,X491:Y491)=2,1+MAX($C$1:C490),"")</f>
        <v/>
      </c>
      <c r="D491" s="113">
        <v>30131</v>
      </c>
      <c r="E491" s="112">
        <v>1982</v>
      </c>
      <c r="F491" s="112" t="s">
        <v>2684</v>
      </c>
      <c r="G491" s="112" t="s">
        <v>2685</v>
      </c>
      <c r="H491" s="114" t="s">
        <v>2545</v>
      </c>
      <c r="I491" s="112">
        <f t="shared" si="112"/>
        <v>0</v>
      </c>
      <c r="J491" s="112">
        <f t="shared" si="113"/>
        <v>0</v>
      </c>
      <c r="K491" s="115" t="s">
        <v>2547</v>
      </c>
      <c r="L491" s="115" t="s">
        <v>2999</v>
      </c>
      <c r="M491" s="115" t="s">
        <v>3000</v>
      </c>
      <c r="N491" s="115">
        <v>75000</v>
      </c>
      <c r="O491" s="112">
        <v>2</v>
      </c>
      <c r="P491" s="116" t="s">
        <v>2613</v>
      </c>
      <c r="Q491" s="112">
        <f t="shared" si="114"/>
        <v>1</v>
      </c>
      <c r="R491" s="112" t="str">
        <f t="shared" si="115"/>
        <v/>
      </c>
      <c r="S491" s="112">
        <f t="shared" si="118"/>
        <v>0</v>
      </c>
      <c r="T491" s="112">
        <f t="shared" si="119"/>
        <v>1</v>
      </c>
      <c r="U491" s="112">
        <f t="shared" si="120"/>
        <v>0</v>
      </c>
      <c r="V491" s="112">
        <f t="shared" si="121"/>
        <v>0</v>
      </c>
      <c r="W491" s="112">
        <f t="shared" si="122"/>
        <v>0</v>
      </c>
      <c r="X491" s="112" t="str">
        <f t="shared" si="116"/>
        <v/>
      </c>
      <c r="Y491" s="112" t="str">
        <f t="shared" si="117"/>
        <v/>
      </c>
      <c r="Z491" s="112" t="str">
        <f t="shared" si="123"/>
        <v/>
      </c>
      <c r="AA491" s="112" t="str">
        <f t="shared" si="124"/>
        <v/>
      </c>
      <c r="AB491" s="112" t="str">
        <f t="shared" si="125"/>
        <v/>
      </c>
      <c r="AC491" s="112" t="str">
        <f t="shared" si="126"/>
        <v/>
      </c>
      <c r="AD491" s="112" t="str">
        <f t="shared" si="127"/>
        <v/>
      </c>
    </row>
    <row r="492" spans="1:30" x14ac:dyDescent="0.2">
      <c r="A492" s="112" t="str">
        <f>IF(SUM(Q492:R492)=1,1+MAX($A$1:A491),"")</f>
        <v/>
      </c>
      <c r="B492" s="112" t="str">
        <f>IF(SUM(X492:Y492)=1,1+MAX($B$1:B491),"")</f>
        <v/>
      </c>
      <c r="C492" s="112" t="str">
        <f>IF(SUM(Q492:R492,X492:Y492)=2,1+MAX($C$1:C491),"")</f>
        <v/>
      </c>
      <c r="D492" s="113">
        <v>30130</v>
      </c>
      <c r="E492" s="112">
        <v>1982</v>
      </c>
      <c r="F492" s="112" t="s">
        <v>2672</v>
      </c>
      <c r="G492" s="112" t="s">
        <v>2673</v>
      </c>
      <c r="H492" s="114" t="s">
        <v>2623</v>
      </c>
      <c r="I492" s="112">
        <f t="shared" si="112"/>
        <v>0</v>
      </c>
      <c r="J492" s="112">
        <f t="shared" si="113"/>
        <v>1</v>
      </c>
      <c r="K492" s="115" t="s">
        <v>2541</v>
      </c>
      <c r="L492" s="115" t="s">
        <v>3008</v>
      </c>
      <c r="M492" s="115" t="s">
        <v>3015</v>
      </c>
      <c r="N492" s="115">
        <v>37000</v>
      </c>
      <c r="O492" s="112">
        <v>2</v>
      </c>
      <c r="P492" s="116" t="s">
        <v>2601</v>
      </c>
      <c r="Q492" s="112" t="str">
        <f t="shared" si="114"/>
        <v/>
      </c>
      <c r="R492" s="112" t="str">
        <f t="shared" si="115"/>
        <v/>
      </c>
      <c r="S492" s="112" t="str">
        <f t="shared" si="118"/>
        <v/>
      </c>
      <c r="T492" s="112" t="str">
        <f t="shared" si="119"/>
        <v/>
      </c>
      <c r="U492" s="112" t="str">
        <f t="shared" si="120"/>
        <v/>
      </c>
      <c r="V492" s="112" t="str">
        <f t="shared" si="121"/>
        <v/>
      </c>
      <c r="W492" s="112" t="str">
        <f t="shared" si="122"/>
        <v/>
      </c>
      <c r="X492" s="112" t="str">
        <f t="shared" si="116"/>
        <v/>
      </c>
      <c r="Y492" s="112" t="str">
        <f t="shared" si="117"/>
        <v/>
      </c>
      <c r="Z492" s="112" t="str">
        <f t="shared" si="123"/>
        <v/>
      </c>
      <c r="AA492" s="112" t="str">
        <f t="shared" si="124"/>
        <v/>
      </c>
      <c r="AB492" s="112" t="str">
        <f t="shared" si="125"/>
        <v/>
      </c>
      <c r="AC492" s="112" t="str">
        <f t="shared" si="126"/>
        <v/>
      </c>
      <c r="AD492" s="112" t="str">
        <f t="shared" si="127"/>
        <v/>
      </c>
    </row>
    <row r="493" spans="1:30" x14ac:dyDescent="0.2">
      <c r="A493" s="112" t="str">
        <f>IF(SUM(Q493:R493)=1,1+MAX($A$1:A492),"")</f>
        <v/>
      </c>
      <c r="B493" s="112" t="str">
        <f>IF(SUM(X493:Y493)=1,1+MAX($B$1:B492),"")</f>
        <v/>
      </c>
      <c r="C493" s="112" t="str">
        <f>IF(SUM(Q493:R493,X493:Y493)=2,1+MAX($C$1:C492),"")</f>
        <v/>
      </c>
      <c r="D493" s="113">
        <v>30130</v>
      </c>
      <c r="E493" s="112">
        <v>1982</v>
      </c>
      <c r="F493" s="112" t="s">
        <v>2689</v>
      </c>
      <c r="G493" s="112" t="s">
        <v>2690</v>
      </c>
      <c r="H493" s="114" t="s">
        <v>2554</v>
      </c>
      <c r="I493" s="112">
        <f t="shared" si="112"/>
        <v>0</v>
      </c>
      <c r="J493" s="112">
        <f t="shared" si="113"/>
        <v>3</v>
      </c>
      <c r="K493" s="115" t="s">
        <v>2544</v>
      </c>
      <c r="L493" s="115" t="s">
        <v>3005</v>
      </c>
      <c r="M493" s="115" t="s">
        <v>3016</v>
      </c>
      <c r="N493" s="115">
        <v>65000</v>
      </c>
      <c r="O493" s="112">
        <v>2</v>
      </c>
      <c r="P493" s="116" t="s">
        <v>2607</v>
      </c>
      <c r="Q493" s="112" t="str">
        <f t="shared" si="114"/>
        <v/>
      </c>
      <c r="R493" s="112" t="str">
        <f t="shared" si="115"/>
        <v/>
      </c>
      <c r="S493" s="112" t="str">
        <f t="shared" si="118"/>
        <v/>
      </c>
      <c r="T493" s="112" t="str">
        <f t="shared" si="119"/>
        <v/>
      </c>
      <c r="U493" s="112" t="str">
        <f t="shared" si="120"/>
        <v/>
      </c>
      <c r="V493" s="112" t="str">
        <f t="shared" si="121"/>
        <v/>
      </c>
      <c r="W493" s="112" t="str">
        <f t="shared" si="122"/>
        <v/>
      </c>
      <c r="X493" s="112" t="str">
        <f t="shared" si="116"/>
        <v/>
      </c>
      <c r="Y493" s="112" t="str">
        <f t="shared" si="117"/>
        <v/>
      </c>
      <c r="Z493" s="112" t="str">
        <f t="shared" si="123"/>
        <v/>
      </c>
      <c r="AA493" s="112" t="str">
        <f t="shared" si="124"/>
        <v/>
      </c>
      <c r="AB493" s="112" t="str">
        <f t="shared" si="125"/>
        <v/>
      </c>
      <c r="AC493" s="112" t="str">
        <f t="shared" si="126"/>
        <v/>
      </c>
      <c r="AD493" s="112" t="str">
        <f t="shared" si="127"/>
        <v/>
      </c>
    </row>
    <row r="494" spans="1:30" x14ac:dyDescent="0.2">
      <c r="A494" s="112" t="str">
        <f>IF(SUM(Q494:R494)=1,1+MAX($A$1:A493),"")</f>
        <v/>
      </c>
      <c r="B494" s="112" t="str">
        <f>IF(SUM(X494:Y494)=1,1+MAX($B$1:B493),"")</f>
        <v/>
      </c>
      <c r="C494" s="112" t="str">
        <f>IF(SUM(Q494:R494,X494:Y494)=2,1+MAX($C$1:C493),"")</f>
        <v/>
      </c>
      <c r="D494" s="113">
        <v>30127</v>
      </c>
      <c r="E494" s="112">
        <v>1982</v>
      </c>
      <c r="F494" s="112" t="s">
        <v>3017</v>
      </c>
      <c r="G494" s="112">
        <v>5</v>
      </c>
      <c r="H494" s="114" t="s">
        <v>2715</v>
      </c>
      <c r="I494" s="112">
        <f t="shared" si="112"/>
        <v>1</v>
      </c>
      <c r="J494" s="112">
        <f t="shared" si="113"/>
        <v>0</v>
      </c>
      <c r="K494" s="115" t="s">
        <v>2557</v>
      </c>
      <c r="L494" s="115" t="s">
        <v>3018</v>
      </c>
      <c r="M494" s="115" t="s">
        <v>3019</v>
      </c>
      <c r="N494" s="115">
        <v>49562</v>
      </c>
      <c r="O494" s="112">
        <v>2</v>
      </c>
      <c r="P494" s="116" t="s">
        <v>2622</v>
      </c>
      <c r="Q494" s="112" t="str">
        <f t="shared" si="114"/>
        <v/>
      </c>
      <c r="R494" s="112" t="str">
        <f t="shared" si="115"/>
        <v/>
      </c>
      <c r="S494" s="112" t="str">
        <f t="shared" si="118"/>
        <v/>
      </c>
      <c r="T494" s="112" t="str">
        <f t="shared" si="119"/>
        <v/>
      </c>
      <c r="U494" s="112" t="str">
        <f t="shared" si="120"/>
        <v/>
      </c>
      <c r="V494" s="112" t="str">
        <f t="shared" si="121"/>
        <v/>
      </c>
      <c r="W494" s="112" t="str">
        <f t="shared" si="122"/>
        <v/>
      </c>
      <c r="X494" s="112" t="str">
        <f t="shared" si="116"/>
        <v/>
      </c>
      <c r="Y494" s="112" t="str">
        <f t="shared" si="117"/>
        <v/>
      </c>
      <c r="Z494" s="112" t="str">
        <f t="shared" si="123"/>
        <v/>
      </c>
      <c r="AA494" s="112" t="str">
        <f t="shared" si="124"/>
        <v/>
      </c>
      <c r="AB494" s="112" t="str">
        <f t="shared" si="125"/>
        <v/>
      </c>
      <c r="AC494" s="112" t="str">
        <f t="shared" si="126"/>
        <v/>
      </c>
      <c r="AD494" s="112" t="str">
        <f t="shared" si="127"/>
        <v/>
      </c>
    </row>
    <row r="495" spans="1:30" x14ac:dyDescent="0.2">
      <c r="A495" s="112">
        <f>IF(SUM(Q495:R495)=1,1+MAX($A$1:A494),"")</f>
        <v>36</v>
      </c>
      <c r="B495" s="112" t="str">
        <f>IF(SUM(X495:Y495)=1,1+MAX($B$1:B494),"")</f>
        <v/>
      </c>
      <c r="C495" s="112" t="str">
        <f>IF(SUM(Q495:R495,X495:Y495)=2,1+MAX($C$1:C494),"")</f>
        <v/>
      </c>
      <c r="D495" s="113">
        <v>30127</v>
      </c>
      <c r="E495" s="112">
        <v>1982</v>
      </c>
      <c r="F495" s="112" t="s">
        <v>3020</v>
      </c>
      <c r="G495" s="112">
        <v>4</v>
      </c>
      <c r="H495" s="114" t="s">
        <v>2545</v>
      </c>
      <c r="I495" s="112">
        <f t="shared" si="112"/>
        <v>1</v>
      </c>
      <c r="J495" s="112">
        <f t="shared" si="113"/>
        <v>0</v>
      </c>
      <c r="K495" s="115" t="s">
        <v>3021</v>
      </c>
      <c r="L495" s="115" t="s">
        <v>3022</v>
      </c>
      <c r="M495" s="115" t="s">
        <v>3023</v>
      </c>
      <c r="N495" s="115">
        <v>39700</v>
      </c>
      <c r="O495" s="112">
        <v>2</v>
      </c>
      <c r="P495" s="116" t="s">
        <v>2622</v>
      </c>
      <c r="Q495" s="112">
        <f t="shared" si="114"/>
        <v>1</v>
      </c>
      <c r="R495" s="112" t="str">
        <f t="shared" si="115"/>
        <v/>
      </c>
      <c r="S495" s="112">
        <f t="shared" si="118"/>
        <v>1</v>
      </c>
      <c r="T495" s="112">
        <f t="shared" si="119"/>
        <v>0</v>
      </c>
      <c r="U495" s="112">
        <f t="shared" si="120"/>
        <v>0</v>
      </c>
      <c r="V495" s="112">
        <f t="shared" si="121"/>
        <v>1</v>
      </c>
      <c r="W495" s="112">
        <f t="shared" si="122"/>
        <v>1</v>
      </c>
      <c r="X495" s="112" t="str">
        <f t="shared" si="116"/>
        <v/>
      </c>
      <c r="Y495" s="112" t="str">
        <f t="shared" si="117"/>
        <v/>
      </c>
      <c r="Z495" s="112" t="str">
        <f t="shared" si="123"/>
        <v/>
      </c>
      <c r="AA495" s="112" t="str">
        <f t="shared" si="124"/>
        <v/>
      </c>
      <c r="AB495" s="112" t="str">
        <f t="shared" si="125"/>
        <v/>
      </c>
      <c r="AC495" s="112" t="str">
        <f t="shared" si="126"/>
        <v/>
      </c>
      <c r="AD495" s="112" t="str">
        <f t="shared" si="127"/>
        <v/>
      </c>
    </row>
    <row r="496" spans="1:30" x14ac:dyDescent="0.2">
      <c r="A496" s="112" t="str">
        <f>IF(SUM(Q496:R496)=1,1+MAX($A$1:A495),"")</f>
        <v/>
      </c>
      <c r="B496" s="112" t="str">
        <f>IF(SUM(X496:Y496)=1,1+MAX($B$1:B495),"")</f>
        <v/>
      </c>
      <c r="C496" s="112" t="str">
        <f>IF(SUM(Q496:R496,X496:Y496)=2,1+MAX($C$1:C495),"")</f>
        <v/>
      </c>
      <c r="D496" s="113">
        <v>30127</v>
      </c>
      <c r="E496" s="112">
        <v>1982</v>
      </c>
      <c r="F496" s="112" t="s">
        <v>3024</v>
      </c>
      <c r="G496" s="112">
        <v>2</v>
      </c>
      <c r="H496" s="114" t="s">
        <v>2623</v>
      </c>
      <c r="I496" s="112">
        <f t="shared" si="112"/>
        <v>0</v>
      </c>
      <c r="J496" s="112">
        <f t="shared" si="113"/>
        <v>1</v>
      </c>
      <c r="K496" s="115" t="s">
        <v>2547</v>
      </c>
      <c r="L496" s="115" t="s">
        <v>3025</v>
      </c>
      <c r="M496" s="115" t="s">
        <v>3010</v>
      </c>
      <c r="N496" s="115">
        <v>41000</v>
      </c>
      <c r="O496" s="112">
        <v>2</v>
      </c>
      <c r="P496" s="116" t="s">
        <v>2601</v>
      </c>
      <c r="Q496" s="112" t="str">
        <f t="shared" si="114"/>
        <v/>
      </c>
      <c r="R496" s="112" t="str">
        <f t="shared" si="115"/>
        <v/>
      </c>
      <c r="S496" s="112" t="str">
        <f t="shared" si="118"/>
        <v/>
      </c>
      <c r="T496" s="112" t="str">
        <f t="shared" si="119"/>
        <v/>
      </c>
      <c r="U496" s="112" t="str">
        <f t="shared" si="120"/>
        <v/>
      </c>
      <c r="V496" s="112" t="str">
        <f t="shared" si="121"/>
        <v/>
      </c>
      <c r="W496" s="112" t="str">
        <f t="shared" si="122"/>
        <v/>
      </c>
      <c r="X496" s="112" t="str">
        <f t="shared" si="116"/>
        <v/>
      </c>
      <c r="Y496" s="112" t="str">
        <f t="shared" si="117"/>
        <v/>
      </c>
      <c r="Z496" s="112" t="str">
        <f t="shared" si="123"/>
        <v/>
      </c>
      <c r="AA496" s="112" t="str">
        <f t="shared" si="124"/>
        <v/>
      </c>
      <c r="AB496" s="112" t="str">
        <f t="shared" si="125"/>
        <v/>
      </c>
      <c r="AC496" s="112" t="str">
        <f t="shared" si="126"/>
        <v/>
      </c>
      <c r="AD496" s="112" t="str">
        <f t="shared" si="127"/>
        <v/>
      </c>
    </row>
    <row r="497" spans="1:30" x14ac:dyDescent="0.2">
      <c r="A497" s="112" t="str">
        <f>IF(SUM(Q497:R497)=1,1+MAX($A$1:A496),"")</f>
        <v/>
      </c>
      <c r="B497" s="112" t="str">
        <f>IF(SUM(X497:Y497)=1,1+MAX($B$1:B496),"")</f>
        <v/>
      </c>
      <c r="C497" s="112" t="str">
        <f>IF(SUM(Q497:R497,X497:Y497)=2,1+MAX($C$1:C496),"")</f>
        <v/>
      </c>
      <c r="D497" s="113">
        <v>30126</v>
      </c>
      <c r="E497" s="112">
        <v>1982</v>
      </c>
      <c r="F497" s="112" t="s">
        <v>3017</v>
      </c>
      <c r="G497" s="112">
        <v>5</v>
      </c>
      <c r="H497" s="114" t="s">
        <v>2669</v>
      </c>
      <c r="I497" s="112">
        <f t="shared" si="112"/>
        <v>0</v>
      </c>
      <c r="J497" s="112">
        <f t="shared" si="113"/>
        <v>1</v>
      </c>
      <c r="K497" s="115" t="s">
        <v>2862</v>
      </c>
      <c r="L497" s="115" t="s">
        <v>3026</v>
      </c>
      <c r="M497" s="115" t="s">
        <v>3027</v>
      </c>
      <c r="N497" s="115">
        <v>25000</v>
      </c>
      <c r="O497" s="112">
        <v>3</v>
      </c>
      <c r="P497" s="116" t="s">
        <v>2601</v>
      </c>
      <c r="Q497" s="112" t="str">
        <f t="shared" si="114"/>
        <v/>
      </c>
      <c r="R497" s="112" t="str">
        <f t="shared" si="115"/>
        <v/>
      </c>
      <c r="S497" s="112" t="str">
        <f t="shared" si="118"/>
        <v/>
      </c>
      <c r="T497" s="112" t="str">
        <f t="shared" si="119"/>
        <v/>
      </c>
      <c r="U497" s="112" t="str">
        <f t="shared" si="120"/>
        <v/>
      </c>
      <c r="V497" s="112" t="str">
        <f t="shared" si="121"/>
        <v/>
      </c>
      <c r="W497" s="112" t="str">
        <f t="shared" si="122"/>
        <v/>
      </c>
      <c r="X497" s="112" t="str">
        <f t="shared" si="116"/>
        <v/>
      </c>
      <c r="Y497" s="112" t="str">
        <f t="shared" si="117"/>
        <v/>
      </c>
      <c r="Z497" s="112" t="str">
        <f t="shared" si="123"/>
        <v/>
      </c>
      <c r="AA497" s="112" t="str">
        <f t="shared" si="124"/>
        <v/>
      </c>
      <c r="AB497" s="112" t="str">
        <f t="shared" si="125"/>
        <v/>
      </c>
      <c r="AC497" s="112" t="str">
        <f t="shared" si="126"/>
        <v/>
      </c>
      <c r="AD497" s="112" t="str">
        <f t="shared" si="127"/>
        <v/>
      </c>
    </row>
    <row r="498" spans="1:30" x14ac:dyDescent="0.2">
      <c r="A498" s="112" t="str">
        <f>IF(SUM(Q498:R498)=1,1+MAX($A$1:A497),"")</f>
        <v/>
      </c>
      <c r="B498" s="112" t="str">
        <f>IF(SUM(X498:Y498)=1,1+MAX($B$1:B497),"")</f>
        <v/>
      </c>
      <c r="C498" s="112" t="str">
        <f>IF(SUM(Q498:R498,X498:Y498)=2,1+MAX($C$1:C497),"")</f>
        <v/>
      </c>
      <c r="D498" s="113">
        <v>30126</v>
      </c>
      <c r="E498" s="112">
        <v>1982</v>
      </c>
      <c r="F498" s="112" t="s">
        <v>3020</v>
      </c>
      <c r="G498" s="112">
        <v>4</v>
      </c>
      <c r="H498" s="114" t="s">
        <v>2648</v>
      </c>
      <c r="I498" s="112">
        <f t="shared" si="112"/>
        <v>1</v>
      </c>
      <c r="J498" s="112">
        <f t="shared" si="113"/>
        <v>1</v>
      </c>
      <c r="K498" s="115" t="s">
        <v>2541</v>
      </c>
      <c r="L498" s="115" t="s">
        <v>3028</v>
      </c>
      <c r="M498" s="115" t="s">
        <v>3012</v>
      </c>
      <c r="N498" s="115">
        <v>28000</v>
      </c>
      <c r="O498" s="112">
        <v>2</v>
      </c>
      <c r="P498" s="116" t="s">
        <v>2645</v>
      </c>
      <c r="Q498" s="112" t="str">
        <f t="shared" si="114"/>
        <v/>
      </c>
      <c r="R498" s="112" t="str">
        <f t="shared" si="115"/>
        <v/>
      </c>
      <c r="S498" s="112" t="str">
        <f t="shared" si="118"/>
        <v/>
      </c>
      <c r="T498" s="112" t="str">
        <f t="shared" si="119"/>
        <v/>
      </c>
      <c r="U498" s="112" t="str">
        <f t="shared" si="120"/>
        <v/>
      </c>
      <c r="V498" s="112" t="str">
        <f t="shared" si="121"/>
        <v/>
      </c>
      <c r="W498" s="112" t="str">
        <f t="shared" si="122"/>
        <v/>
      </c>
      <c r="X498" s="112" t="str">
        <f t="shared" si="116"/>
        <v/>
      </c>
      <c r="Y498" s="112" t="str">
        <f t="shared" si="117"/>
        <v/>
      </c>
      <c r="Z498" s="112" t="str">
        <f t="shared" si="123"/>
        <v/>
      </c>
      <c r="AA498" s="112" t="str">
        <f t="shared" si="124"/>
        <v/>
      </c>
      <c r="AB498" s="112" t="str">
        <f t="shared" si="125"/>
        <v/>
      </c>
      <c r="AC498" s="112" t="str">
        <f t="shared" si="126"/>
        <v/>
      </c>
      <c r="AD498" s="112" t="str">
        <f t="shared" si="127"/>
        <v/>
      </c>
    </row>
    <row r="499" spans="1:30" x14ac:dyDescent="0.2">
      <c r="A499" s="112" t="str">
        <f>IF(SUM(Q499:R499)=1,1+MAX($A$1:A498),"")</f>
        <v/>
      </c>
      <c r="B499" s="112" t="str">
        <f>IF(SUM(X499:Y499)=1,1+MAX($B$1:B498),"")</f>
        <v/>
      </c>
      <c r="C499" s="112" t="str">
        <f>IF(SUM(Q499:R499,X499:Y499)=2,1+MAX($C$1:C498),"")</f>
        <v/>
      </c>
      <c r="D499" s="113">
        <v>30126</v>
      </c>
      <c r="E499" s="112">
        <v>1982</v>
      </c>
      <c r="F499" s="112" t="s">
        <v>3024</v>
      </c>
      <c r="G499" s="112">
        <v>2</v>
      </c>
      <c r="H499" s="114" t="s">
        <v>2635</v>
      </c>
      <c r="I499" s="112">
        <f t="shared" si="112"/>
        <v>3</v>
      </c>
      <c r="J499" s="112">
        <f t="shared" si="113"/>
        <v>2</v>
      </c>
      <c r="K499" s="115" t="s">
        <v>2650</v>
      </c>
      <c r="L499" s="115" t="s">
        <v>3029</v>
      </c>
      <c r="M499" s="115" t="s">
        <v>2988</v>
      </c>
      <c r="N499" s="115">
        <v>16000</v>
      </c>
      <c r="O499" s="112">
        <v>2</v>
      </c>
      <c r="P499" s="116" t="s">
        <v>2664</v>
      </c>
      <c r="Q499" s="112" t="str">
        <f t="shared" si="114"/>
        <v/>
      </c>
      <c r="R499" s="112" t="str">
        <f t="shared" si="115"/>
        <v/>
      </c>
      <c r="S499" s="112" t="str">
        <f t="shared" si="118"/>
        <v/>
      </c>
      <c r="T499" s="112" t="str">
        <f t="shared" si="119"/>
        <v/>
      </c>
      <c r="U499" s="112" t="str">
        <f t="shared" si="120"/>
        <v/>
      </c>
      <c r="V499" s="112" t="str">
        <f t="shared" si="121"/>
        <v/>
      </c>
      <c r="W499" s="112" t="str">
        <f t="shared" si="122"/>
        <v/>
      </c>
      <c r="X499" s="112" t="str">
        <f t="shared" si="116"/>
        <v/>
      </c>
      <c r="Y499" s="112" t="str">
        <f t="shared" si="117"/>
        <v/>
      </c>
      <c r="Z499" s="112" t="str">
        <f t="shared" si="123"/>
        <v/>
      </c>
      <c r="AA499" s="112" t="str">
        <f t="shared" si="124"/>
        <v/>
      </c>
      <c r="AB499" s="112" t="str">
        <f t="shared" si="125"/>
        <v/>
      </c>
      <c r="AC499" s="112" t="str">
        <f t="shared" si="126"/>
        <v/>
      </c>
      <c r="AD499" s="112" t="str">
        <f t="shared" si="127"/>
        <v/>
      </c>
    </row>
    <row r="500" spans="1:30" x14ac:dyDescent="0.2">
      <c r="A500" s="112" t="str">
        <f>IF(SUM(Q500:R500)=1,1+MAX($A$1:A499),"")</f>
        <v/>
      </c>
      <c r="B500" s="112" t="str">
        <f>IF(SUM(X500:Y500)=1,1+MAX($B$1:B499),"")</f>
        <v/>
      </c>
      <c r="C500" s="112" t="str">
        <f>IF(SUM(Q500:R500,X500:Y500)=2,1+MAX($C$1:C499),"")</f>
        <v/>
      </c>
      <c r="D500" s="113">
        <v>30125</v>
      </c>
      <c r="E500" s="112">
        <v>1982</v>
      </c>
      <c r="F500" s="112" t="s">
        <v>3030</v>
      </c>
      <c r="G500" s="112">
        <v>6</v>
      </c>
      <c r="H500" s="114" t="s">
        <v>1442</v>
      </c>
      <c r="I500" s="112">
        <f t="shared" si="112"/>
        <v>4</v>
      </c>
      <c r="J500" s="112">
        <f t="shared" si="113"/>
        <v>0</v>
      </c>
      <c r="K500" s="115" t="s">
        <v>2733</v>
      </c>
      <c r="L500" s="115" t="s">
        <v>3031</v>
      </c>
      <c r="M500" s="115" t="s">
        <v>3032</v>
      </c>
      <c r="N500" s="115">
        <v>43000</v>
      </c>
      <c r="O500" s="112">
        <v>2</v>
      </c>
      <c r="P500" s="116" t="s">
        <v>2710</v>
      </c>
      <c r="Q500" s="112" t="str">
        <f t="shared" si="114"/>
        <v/>
      </c>
      <c r="R500" s="112" t="str">
        <f t="shared" si="115"/>
        <v/>
      </c>
      <c r="S500" s="112" t="str">
        <f t="shared" si="118"/>
        <v/>
      </c>
      <c r="T500" s="112" t="str">
        <f t="shared" si="119"/>
        <v/>
      </c>
      <c r="U500" s="112" t="str">
        <f t="shared" si="120"/>
        <v/>
      </c>
      <c r="V500" s="112" t="str">
        <f t="shared" si="121"/>
        <v/>
      </c>
      <c r="W500" s="112" t="str">
        <f t="shared" si="122"/>
        <v/>
      </c>
      <c r="X500" s="112" t="str">
        <f t="shared" si="116"/>
        <v/>
      </c>
      <c r="Y500" s="112" t="str">
        <f t="shared" si="117"/>
        <v/>
      </c>
      <c r="Z500" s="112" t="str">
        <f t="shared" si="123"/>
        <v/>
      </c>
      <c r="AA500" s="112" t="str">
        <f t="shared" si="124"/>
        <v/>
      </c>
      <c r="AB500" s="112" t="str">
        <f t="shared" si="125"/>
        <v/>
      </c>
      <c r="AC500" s="112" t="str">
        <f t="shared" si="126"/>
        <v/>
      </c>
      <c r="AD500" s="112" t="str">
        <f t="shared" si="127"/>
        <v/>
      </c>
    </row>
    <row r="501" spans="1:30" x14ac:dyDescent="0.2">
      <c r="A501" s="112" t="str">
        <f>IF(SUM(Q501:R501)=1,1+MAX($A$1:A500),"")</f>
        <v/>
      </c>
      <c r="B501" s="112">
        <f>IF(SUM(X501:Y501)=1,1+MAX($B$1:B500),"")</f>
        <v>46</v>
      </c>
      <c r="C501" s="112" t="str">
        <f>IF(SUM(Q501:R501,X501:Y501)=2,1+MAX($C$1:C500),"")</f>
        <v/>
      </c>
      <c r="D501" s="113">
        <v>30125</v>
      </c>
      <c r="E501" s="112">
        <v>1982</v>
      </c>
      <c r="F501" s="112" t="s">
        <v>3033</v>
      </c>
      <c r="G501" s="112">
        <v>3</v>
      </c>
      <c r="H501" s="114" t="s">
        <v>1134</v>
      </c>
      <c r="I501" s="112">
        <f t="shared" si="112"/>
        <v>2</v>
      </c>
      <c r="J501" s="112">
        <f t="shared" si="113"/>
        <v>0</v>
      </c>
      <c r="K501" s="115" t="s">
        <v>2712</v>
      </c>
      <c r="L501" s="115" t="s">
        <v>3001</v>
      </c>
      <c r="M501" s="115" t="s">
        <v>3034</v>
      </c>
      <c r="N501" s="115">
        <v>32500</v>
      </c>
      <c r="O501" s="112">
        <v>3</v>
      </c>
      <c r="P501" s="116" t="s">
        <v>2641</v>
      </c>
      <c r="Q501" s="112" t="str">
        <f t="shared" si="114"/>
        <v/>
      </c>
      <c r="R501" s="112" t="str">
        <f t="shared" si="115"/>
        <v/>
      </c>
      <c r="S501" s="112" t="str">
        <f t="shared" si="118"/>
        <v/>
      </c>
      <c r="T501" s="112" t="str">
        <f t="shared" si="119"/>
        <v/>
      </c>
      <c r="U501" s="112" t="str">
        <f t="shared" si="120"/>
        <v/>
      </c>
      <c r="V501" s="112" t="str">
        <f t="shared" si="121"/>
        <v/>
      </c>
      <c r="W501" s="112" t="str">
        <f t="shared" si="122"/>
        <v/>
      </c>
      <c r="X501" s="112">
        <f t="shared" si="116"/>
        <v>1</v>
      </c>
      <c r="Y501" s="112" t="str">
        <f t="shared" si="117"/>
        <v/>
      </c>
      <c r="Z501" s="112">
        <f t="shared" si="123"/>
        <v>1</v>
      </c>
      <c r="AA501" s="112">
        <f t="shared" si="124"/>
        <v>0</v>
      </c>
      <c r="AB501" s="112">
        <f t="shared" si="125"/>
        <v>0</v>
      </c>
      <c r="AC501" s="112">
        <f t="shared" si="126"/>
        <v>2</v>
      </c>
      <c r="AD501" s="112">
        <f t="shared" si="127"/>
        <v>2</v>
      </c>
    </row>
    <row r="502" spans="1:30" x14ac:dyDescent="0.2">
      <c r="A502" s="112" t="str">
        <f>IF(SUM(Q502:R502)=1,1+MAX($A$1:A501),"")</f>
        <v/>
      </c>
      <c r="B502" s="112" t="str">
        <f>IF(SUM(X502:Y502)=1,1+MAX($B$1:B501),"")</f>
        <v/>
      </c>
      <c r="C502" s="112" t="str">
        <f>IF(SUM(Q502:R502,X502:Y502)=2,1+MAX($C$1:C501),"")</f>
        <v/>
      </c>
      <c r="D502" s="113">
        <v>30125</v>
      </c>
      <c r="E502" s="112">
        <v>1982</v>
      </c>
      <c r="F502" s="112" t="s">
        <v>3035</v>
      </c>
      <c r="G502" s="112">
        <v>1</v>
      </c>
      <c r="H502" s="114" t="s">
        <v>2693</v>
      </c>
      <c r="I502" s="112">
        <f t="shared" si="112"/>
        <v>1</v>
      </c>
      <c r="J502" s="112">
        <f t="shared" si="113"/>
        <v>1</v>
      </c>
      <c r="K502" s="115" t="s">
        <v>2674</v>
      </c>
      <c r="L502" s="115" t="s">
        <v>3036</v>
      </c>
      <c r="M502" s="115" t="s">
        <v>2979</v>
      </c>
      <c r="N502" s="115">
        <v>20000</v>
      </c>
      <c r="O502" s="112">
        <v>2</v>
      </c>
      <c r="P502" s="116" t="s">
        <v>2645</v>
      </c>
      <c r="Q502" s="112" t="str">
        <f t="shared" si="114"/>
        <v/>
      </c>
      <c r="R502" s="112" t="str">
        <f t="shared" si="115"/>
        <v/>
      </c>
      <c r="S502" s="112" t="str">
        <f t="shared" si="118"/>
        <v/>
      </c>
      <c r="T502" s="112" t="str">
        <f t="shared" si="119"/>
        <v/>
      </c>
      <c r="U502" s="112" t="str">
        <f t="shared" si="120"/>
        <v/>
      </c>
      <c r="V502" s="112" t="str">
        <f t="shared" si="121"/>
        <v/>
      </c>
      <c r="W502" s="112" t="str">
        <f t="shared" si="122"/>
        <v/>
      </c>
      <c r="X502" s="112" t="str">
        <f t="shared" si="116"/>
        <v/>
      </c>
      <c r="Y502" s="112" t="str">
        <f t="shared" si="117"/>
        <v/>
      </c>
      <c r="Z502" s="112" t="str">
        <f t="shared" si="123"/>
        <v/>
      </c>
      <c r="AA502" s="112" t="str">
        <f t="shared" si="124"/>
        <v/>
      </c>
      <c r="AB502" s="112" t="str">
        <f t="shared" si="125"/>
        <v/>
      </c>
      <c r="AC502" s="112" t="str">
        <f t="shared" si="126"/>
        <v/>
      </c>
      <c r="AD502" s="112" t="str">
        <f t="shared" si="127"/>
        <v/>
      </c>
    </row>
    <row r="503" spans="1:30" x14ac:dyDescent="0.2">
      <c r="A503" s="112" t="str">
        <f>IF(SUM(Q503:R503)=1,1+MAX($A$1:A502),"")</f>
        <v/>
      </c>
      <c r="B503" s="112" t="str">
        <f>IF(SUM(X503:Y503)=1,1+MAX($B$1:B502),"")</f>
        <v/>
      </c>
      <c r="C503" s="112" t="str">
        <f>IF(SUM(Q503:R503,X503:Y503)=2,1+MAX($C$1:C502),"")</f>
        <v/>
      </c>
      <c r="D503" s="113">
        <v>30124</v>
      </c>
      <c r="E503" s="112">
        <v>1982</v>
      </c>
      <c r="F503" s="112" t="s">
        <v>3030</v>
      </c>
      <c r="G503" s="112">
        <v>6</v>
      </c>
      <c r="H503" s="114" t="s">
        <v>2717</v>
      </c>
      <c r="I503" s="112">
        <f t="shared" si="112"/>
        <v>2</v>
      </c>
      <c r="J503" s="112">
        <f t="shared" si="113"/>
        <v>2</v>
      </c>
      <c r="K503" s="115" t="s">
        <v>2720</v>
      </c>
      <c r="L503" s="115" t="s">
        <v>3037</v>
      </c>
      <c r="M503" s="115" t="s">
        <v>3014</v>
      </c>
      <c r="N503" s="115">
        <v>45000</v>
      </c>
      <c r="O503" s="112">
        <v>2</v>
      </c>
      <c r="P503" s="116" t="s">
        <v>2697</v>
      </c>
      <c r="Q503" s="112" t="str">
        <f t="shared" si="114"/>
        <v/>
      </c>
      <c r="R503" s="112" t="str">
        <f t="shared" si="115"/>
        <v/>
      </c>
      <c r="S503" s="112" t="str">
        <f t="shared" si="118"/>
        <v/>
      </c>
      <c r="T503" s="112" t="str">
        <f t="shared" si="119"/>
        <v/>
      </c>
      <c r="U503" s="112" t="str">
        <f t="shared" si="120"/>
        <v/>
      </c>
      <c r="V503" s="112" t="str">
        <f t="shared" si="121"/>
        <v/>
      </c>
      <c r="W503" s="112" t="str">
        <f t="shared" si="122"/>
        <v/>
      </c>
      <c r="X503" s="112" t="str">
        <f t="shared" si="116"/>
        <v/>
      </c>
      <c r="Y503" s="112" t="str">
        <f t="shared" si="117"/>
        <v/>
      </c>
      <c r="Z503" s="112" t="str">
        <f t="shared" si="123"/>
        <v/>
      </c>
      <c r="AA503" s="112" t="str">
        <f t="shared" si="124"/>
        <v/>
      </c>
      <c r="AB503" s="112" t="str">
        <f t="shared" si="125"/>
        <v/>
      </c>
      <c r="AC503" s="112" t="str">
        <f t="shared" si="126"/>
        <v/>
      </c>
      <c r="AD503" s="112" t="str">
        <f t="shared" si="127"/>
        <v/>
      </c>
    </row>
    <row r="504" spans="1:30" x14ac:dyDescent="0.2">
      <c r="A504" s="112" t="str">
        <f>IF(SUM(Q504:R504)=1,1+MAX($A$1:A503),"")</f>
        <v/>
      </c>
      <c r="B504" s="112" t="str">
        <f>IF(SUM(X504:Y504)=1,1+MAX($B$1:B503),"")</f>
        <v/>
      </c>
      <c r="C504" s="112" t="str">
        <f>IF(SUM(Q504:R504,X504:Y504)=2,1+MAX($C$1:C503),"")</f>
        <v/>
      </c>
      <c r="D504" s="113">
        <v>30124</v>
      </c>
      <c r="E504" s="112">
        <v>1982</v>
      </c>
      <c r="F504" s="112" t="s">
        <v>3033</v>
      </c>
      <c r="G504" s="112">
        <v>3</v>
      </c>
      <c r="H504" s="114" t="s">
        <v>2554</v>
      </c>
      <c r="I504" s="112">
        <f t="shared" si="112"/>
        <v>1</v>
      </c>
      <c r="J504" s="112">
        <f t="shared" si="113"/>
        <v>1</v>
      </c>
      <c r="K504" s="115" t="s">
        <v>2725</v>
      </c>
      <c r="L504" s="115" t="s">
        <v>3038</v>
      </c>
      <c r="M504" s="115" t="s">
        <v>3039</v>
      </c>
      <c r="N504" s="115">
        <v>37000</v>
      </c>
      <c r="O504" s="112">
        <v>2</v>
      </c>
      <c r="P504" s="116" t="s">
        <v>2645</v>
      </c>
      <c r="Q504" s="112" t="str">
        <f t="shared" si="114"/>
        <v/>
      </c>
      <c r="R504" s="112" t="str">
        <f t="shared" si="115"/>
        <v/>
      </c>
      <c r="S504" s="112" t="str">
        <f t="shared" si="118"/>
        <v/>
      </c>
      <c r="T504" s="112" t="str">
        <f t="shared" si="119"/>
        <v/>
      </c>
      <c r="U504" s="112" t="str">
        <f t="shared" si="120"/>
        <v/>
      </c>
      <c r="V504" s="112" t="str">
        <f t="shared" si="121"/>
        <v/>
      </c>
      <c r="W504" s="112" t="str">
        <f t="shared" si="122"/>
        <v/>
      </c>
      <c r="X504" s="112" t="str">
        <f t="shared" si="116"/>
        <v/>
      </c>
      <c r="Y504" s="112" t="str">
        <f t="shared" si="117"/>
        <v/>
      </c>
      <c r="Z504" s="112" t="str">
        <f t="shared" si="123"/>
        <v/>
      </c>
      <c r="AA504" s="112" t="str">
        <f t="shared" si="124"/>
        <v/>
      </c>
      <c r="AB504" s="112" t="str">
        <f t="shared" si="125"/>
        <v/>
      </c>
      <c r="AC504" s="112" t="str">
        <f t="shared" si="126"/>
        <v/>
      </c>
      <c r="AD504" s="112" t="str">
        <f t="shared" si="127"/>
        <v/>
      </c>
    </row>
    <row r="505" spans="1:30" x14ac:dyDescent="0.2">
      <c r="A505" s="112" t="str">
        <f>IF(SUM(Q505:R505)=1,1+MAX($A$1:A504),"")</f>
        <v/>
      </c>
      <c r="B505" s="112" t="str">
        <f>IF(SUM(X505:Y505)=1,1+MAX($B$1:B504),"")</f>
        <v/>
      </c>
      <c r="C505" s="112" t="str">
        <f>IF(SUM(Q505:R505,X505:Y505)=2,1+MAX($C$1:C504),"")</f>
        <v/>
      </c>
      <c r="D505" s="113">
        <v>30124</v>
      </c>
      <c r="E505" s="112">
        <v>1982</v>
      </c>
      <c r="F505" s="112" t="s">
        <v>3035</v>
      </c>
      <c r="G505" s="112">
        <v>1</v>
      </c>
      <c r="H505" s="114" t="s">
        <v>2134</v>
      </c>
      <c r="I505" s="112">
        <f t="shared" si="112"/>
        <v>1</v>
      </c>
      <c r="J505" s="112">
        <f t="shared" si="113"/>
        <v>5</v>
      </c>
      <c r="K505" s="115" t="s">
        <v>2544</v>
      </c>
      <c r="L505" s="115" t="s">
        <v>3040</v>
      </c>
      <c r="M505" s="115" t="s">
        <v>3011</v>
      </c>
      <c r="N505" s="115">
        <v>25000</v>
      </c>
      <c r="O505" s="112">
        <v>2</v>
      </c>
      <c r="P505" s="116" t="s">
        <v>2968</v>
      </c>
      <c r="Q505" s="112" t="str">
        <f t="shared" si="114"/>
        <v/>
      </c>
      <c r="R505" s="112" t="str">
        <f t="shared" si="115"/>
        <v/>
      </c>
      <c r="S505" s="112" t="str">
        <f t="shared" si="118"/>
        <v/>
      </c>
      <c r="T505" s="112" t="str">
        <f t="shared" si="119"/>
        <v/>
      </c>
      <c r="U505" s="112" t="str">
        <f t="shared" si="120"/>
        <v/>
      </c>
      <c r="V505" s="112" t="str">
        <f t="shared" si="121"/>
        <v/>
      </c>
      <c r="W505" s="112" t="str">
        <f t="shared" si="122"/>
        <v/>
      </c>
      <c r="X505" s="112" t="str">
        <f t="shared" si="116"/>
        <v/>
      </c>
      <c r="Y505" s="112" t="str">
        <f t="shared" si="117"/>
        <v/>
      </c>
      <c r="Z505" s="112" t="str">
        <f t="shared" si="123"/>
        <v/>
      </c>
      <c r="AA505" s="112" t="str">
        <f t="shared" si="124"/>
        <v/>
      </c>
      <c r="AB505" s="112" t="str">
        <f t="shared" si="125"/>
        <v/>
      </c>
      <c r="AC505" s="112" t="str">
        <f t="shared" si="126"/>
        <v/>
      </c>
      <c r="AD505" s="112" t="str">
        <f t="shared" si="127"/>
        <v/>
      </c>
    </row>
    <row r="506" spans="1:30" x14ac:dyDescent="0.2">
      <c r="A506" s="112" t="str">
        <f>IF(SUM(Q506:R506)=1,1+MAX($A$1:A505),"")</f>
        <v/>
      </c>
      <c r="B506" s="112" t="str">
        <f>IF(SUM(X506:Y506)=1,1+MAX($B$1:B505),"")</f>
        <v/>
      </c>
      <c r="C506" s="112" t="str">
        <f>IF(SUM(Q506:R506,X506:Y506)=2,1+MAX($C$1:C505),"")</f>
        <v/>
      </c>
      <c r="D506" s="113">
        <v>30123</v>
      </c>
      <c r="E506" s="112">
        <v>1982</v>
      </c>
      <c r="F506" s="112" t="s">
        <v>3017</v>
      </c>
      <c r="G506" s="112">
        <v>5</v>
      </c>
      <c r="H506" s="114" t="s">
        <v>2669</v>
      </c>
      <c r="I506" s="112">
        <f t="shared" si="112"/>
        <v>1</v>
      </c>
      <c r="J506" s="112">
        <f t="shared" si="113"/>
        <v>1</v>
      </c>
      <c r="K506" s="115" t="s">
        <v>2715</v>
      </c>
      <c r="L506" s="115" t="s">
        <v>3026</v>
      </c>
      <c r="M506" s="115" t="s">
        <v>3041</v>
      </c>
      <c r="N506" s="115">
        <v>15000</v>
      </c>
      <c r="O506" s="112">
        <v>3</v>
      </c>
      <c r="P506" s="116" t="s">
        <v>2645</v>
      </c>
      <c r="Q506" s="112" t="str">
        <f t="shared" si="114"/>
        <v/>
      </c>
      <c r="R506" s="112" t="str">
        <f t="shared" si="115"/>
        <v/>
      </c>
      <c r="S506" s="112" t="str">
        <f t="shared" si="118"/>
        <v/>
      </c>
      <c r="T506" s="112" t="str">
        <f t="shared" si="119"/>
        <v/>
      </c>
      <c r="U506" s="112" t="str">
        <f t="shared" si="120"/>
        <v/>
      </c>
      <c r="V506" s="112" t="str">
        <f t="shared" si="121"/>
        <v/>
      </c>
      <c r="W506" s="112" t="str">
        <f t="shared" si="122"/>
        <v/>
      </c>
      <c r="X506" s="112" t="str">
        <f t="shared" si="116"/>
        <v/>
      </c>
      <c r="Y506" s="112" t="str">
        <f t="shared" si="117"/>
        <v/>
      </c>
      <c r="Z506" s="112" t="str">
        <f t="shared" si="123"/>
        <v/>
      </c>
      <c r="AA506" s="112" t="str">
        <f t="shared" si="124"/>
        <v/>
      </c>
      <c r="AB506" s="112" t="str">
        <f t="shared" si="125"/>
        <v/>
      </c>
      <c r="AC506" s="112" t="str">
        <f t="shared" si="126"/>
        <v/>
      </c>
      <c r="AD506" s="112" t="str">
        <f t="shared" si="127"/>
        <v/>
      </c>
    </row>
    <row r="507" spans="1:30" x14ac:dyDescent="0.2">
      <c r="A507" s="112" t="str">
        <f>IF(SUM(Q507:R507)=1,1+MAX($A$1:A506),"")</f>
        <v/>
      </c>
      <c r="B507" s="112" t="str">
        <f>IF(SUM(X507:Y507)=1,1+MAX($B$1:B506),"")</f>
        <v/>
      </c>
      <c r="C507" s="112" t="str">
        <f>IF(SUM(Q507:R507,X507:Y507)=2,1+MAX($C$1:C506),"")</f>
        <v/>
      </c>
      <c r="D507" s="113">
        <v>30123</v>
      </c>
      <c r="E507" s="112">
        <v>1982</v>
      </c>
      <c r="F507" s="112" t="s">
        <v>3020</v>
      </c>
      <c r="G507" s="112">
        <v>4</v>
      </c>
      <c r="H507" s="114" t="s">
        <v>2541</v>
      </c>
      <c r="I507" s="112">
        <f t="shared" si="112"/>
        <v>4</v>
      </c>
      <c r="J507" s="112">
        <f t="shared" si="113"/>
        <v>1</v>
      </c>
      <c r="K507" s="115" t="s">
        <v>3021</v>
      </c>
      <c r="L507" s="115" t="s">
        <v>3028</v>
      </c>
      <c r="M507" s="115" t="s">
        <v>3042</v>
      </c>
      <c r="N507" s="115">
        <v>30043</v>
      </c>
      <c r="O507" s="112">
        <v>2</v>
      </c>
      <c r="P507" s="116" t="s">
        <v>2683</v>
      </c>
      <c r="Q507" s="112" t="str">
        <f t="shared" si="114"/>
        <v/>
      </c>
      <c r="R507" s="112" t="str">
        <f t="shared" si="115"/>
        <v/>
      </c>
      <c r="S507" s="112" t="str">
        <f t="shared" si="118"/>
        <v/>
      </c>
      <c r="T507" s="112" t="str">
        <f t="shared" si="119"/>
        <v/>
      </c>
      <c r="U507" s="112" t="str">
        <f t="shared" si="120"/>
        <v/>
      </c>
      <c r="V507" s="112" t="str">
        <f t="shared" si="121"/>
        <v/>
      </c>
      <c r="W507" s="112" t="str">
        <f t="shared" si="122"/>
        <v/>
      </c>
      <c r="X507" s="112" t="str">
        <f t="shared" si="116"/>
        <v/>
      </c>
      <c r="Y507" s="112" t="str">
        <f t="shared" si="117"/>
        <v/>
      </c>
      <c r="Z507" s="112" t="str">
        <f t="shared" si="123"/>
        <v/>
      </c>
      <c r="AA507" s="112" t="str">
        <f t="shared" si="124"/>
        <v/>
      </c>
      <c r="AB507" s="112" t="str">
        <f t="shared" si="125"/>
        <v/>
      </c>
      <c r="AC507" s="112" t="str">
        <f t="shared" si="126"/>
        <v/>
      </c>
      <c r="AD507" s="112" t="str">
        <f t="shared" si="127"/>
        <v/>
      </c>
    </row>
    <row r="508" spans="1:30" x14ac:dyDescent="0.2">
      <c r="A508" s="112" t="str">
        <f>IF(SUM(Q508:R508)=1,1+MAX($A$1:A507),"")</f>
        <v/>
      </c>
      <c r="B508" s="112" t="str">
        <f>IF(SUM(X508:Y508)=1,1+MAX($B$1:B507),"")</f>
        <v/>
      </c>
      <c r="C508" s="112" t="str">
        <f>IF(SUM(Q508:R508,X508:Y508)=2,1+MAX($C$1:C507),"")</f>
        <v/>
      </c>
      <c r="D508" s="113">
        <v>30123</v>
      </c>
      <c r="E508" s="112">
        <v>1982</v>
      </c>
      <c r="F508" s="112" t="s">
        <v>3024</v>
      </c>
      <c r="G508" s="112">
        <v>2</v>
      </c>
      <c r="H508" s="114" t="s">
        <v>2635</v>
      </c>
      <c r="I508" s="112">
        <f t="shared" si="112"/>
        <v>0</v>
      </c>
      <c r="J508" s="112">
        <f t="shared" si="113"/>
        <v>2</v>
      </c>
      <c r="K508" s="115" t="s">
        <v>2623</v>
      </c>
      <c r="L508" s="115" t="s">
        <v>3029</v>
      </c>
      <c r="M508" s="115" t="s">
        <v>3043</v>
      </c>
      <c r="N508" s="115">
        <v>22000</v>
      </c>
      <c r="O508" s="112">
        <v>2</v>
      </c>
      <c r="P508" s="116" t="s">
        <v>2687</v>
      </c>
      <c r="Q508" s="112" t="str">
        <f t="shared" si="114"/>
        <v/>
      </c>
      <c r="R508" s="112" t="str">
        <f t="shared" si="115"/>
        <v/>
      </c>
      <c r="S508" s="112" t="str">
        <f t="shared" si="118"/>
        <v/>
      </c>
      <c r="T508" s="112" t="str">
        <f t="shared" si="119"/>
        <v/>
      </c>
      <c r="U508" s="112" t="str">
        <f t="shared" si="120"/>
        <v/>
      </c>
      <c r="V508" s="112" t="str">
        <f t="shared" si="121"/>
        <v/>
      </c>
      <c r="W508" s="112" t="str">
        <f t="shared" si="122"/>
        <v/>
      </c>
      <c r="X508" s="112" t="str">
        <f t="shared" si="116"/>
        <v/>
      </c>
      <c r="Y508" s="112" t="str">
        <f t="shared" si="117"/>
        <v/>
      </c>
      <c r="Z508" s="112" t="str">
        <f t="shared" si="123"/>
        <v/>
      </c>
      <c r="AA508" s="112" t="str">
        <f t="shared" si="124"/>
        <v/>
      </c>
      <c r="AB508" s="112" t="str">
        <f t="shared" si="125"/>
        <v/>
      </c>
      <c r="AC508" s="112" t="str">
        <f t="shared" si="126"/>
        <v/>
      </c>
      <c r="AD508" s="112" t="str">
        <f t="shared" si="127"/>
        <v/>
      </c>
    </row>
    <row r="509" spans="1:30" x14ac:dyDescent="0.2">
      <c r="A509" s="112" t="str">
        <f>IF(SUM(Q509:R509)=1,1+MAX($A$1:A508),"")</f>
        <v/>
      </c>
      <c r="B509" s="112" t="str">
        <f>IF(SUM(X509:Y509)=1,1+MAX($B$1:B508),"")</f>
        <v/>
      </c>
      <c r="C509" s="112" t="str">
        <f>IF(SUM(Q509:R509,X509:Y509)=2,1+MAX($C$1:C508),"")</f>
        <v/>
      </c>
      <c r="D509" s="113">
        <v>30122</v>
      </c>
      <c r="E509" s="112">
        <v>1982</v>
      </c>
      <c r="F509" s="112" t="s">
        <v>3017</v>
      </c>
      <c r="G509" s="112">
        <v>5</v>
      </c>
      <c r="H509" s="114" t="s">
        <v>2557</v>
      </c>
      <c r="I509" s="112">
        <f t="shared" si="112"/>
        <v>2</v>
      </c>
      <c r="J509" s="112">
        <f t="shared" si="113"/>
        <v>1</v>
      </c>
      <c r="K509" s="115" t="s">
        <v>2862</v>
      </c>
      <c r="L509" s="115" t="s">
        <v>3018</v>
      </c>
      <c r="M509" s="115" t="s">
        <v>3044</v>
      </c>
      <c r="N509" s="115">
        <v>48000</v>
      </c>
      <c r="O509" s="112">
        <v>2</v>
      </c>
      <c r="P509" s="116" t="s">
        <v>2626</v>
      </c>
      <c r="Q509" s="112" t="str">
        <f t="shared" si="114"/>
        <v/>
      </c>
      <c r="R509" s="112" t="str">
        <f t="shared" si="115"/>
        <v/>
      </c>
      <c r="S509" s="112" t="str">
        <f t="shared" si="118"/>
        <v/>
      </c>
      <c r="T509" s="112" t="str">
        <f t="shared" si="119"/>
        <v/>
      </c>
      <c r="U509" s="112" t="str">
        <f t="shared" si="120"/>
        <v/>
      </c>
      <c r="V509" s="112" t="str">
        <f t="shared" si="121"/>
        <v/>
      </c>
      <c r="W509" s="112" t="str">
        <f t="shared" si="122"/>
        <v/>
      </c>
      <c r="X509" s="112" t="str">
        <f t="shared" si="116"/>
        <v/>
      </c>
      <c r="Y509" s="112" t="str">
        <f t="shared" si="117"/>
        <v/>
      </c>
      <c r="Z509" s="112" t="str">
        <f t="shared" si="123"/>
        <v/>
      </c>
      <c r="AA509" s="112" t="str">
        <f t="shared" si="124"/>
        <v/>
      </c>
      <c r="AB509" s="112" t="str">
        <f t="shared" si="125"/>
        <v/>
      </c>
      <c r="AC509" s="112" t="str">
        <f t="shared" si="126"/>
        <v/>
      </c>
      <c r="AD509" s="112" t="str">
        <f t="shared" si="127"/>
        <v/>
      </c>
    </row>
    <row r="510" spans="1:30" x14ac:dyDescent="0.2">
      <c r="A510" s="112">
        <f>IF(SUM(Q510:R510)=1,1+MAX($A$1:A509),"")</f>
        <v>37</v>
      </c>
      <c r="B510" s="112" t="str">
        <f>IF(SUM(X510:Y510)=1,1+MAX($B$1:B509),"")</f>
        <v/>
      </c>
      <c r="C510" s="112" t="str">
        <f>IF(SUM(Q510:R510,X510:Y510)=2,1+MAX($C$1:C509),"")</f>
        <v/>
      </c>
      <c r="D510" s="113">
        <v>30122</v>
      </c>
      <c r="E510" s="112">
        <v>1982</v>
      </c>
      <c r="F510" s="112" t="s">
        <v>3020</v>
      </c>
      <c r="G510" s="112">
        <v>4</v>
      </c>
      <c r="H510" s="114" t="s">
        <v>2648</v>
      </c>
      <c r="I510" s="112">
        <f t="shared" si="112"/>
        <v>0</v>
      </c>
      <c r="J510" s="112">
        <f t="shared" si="113"/>
        <v>2</v>
      </c>
      <c r="K510" s="115" t="s">
        <v>2545</v>
      </c>
      <c r="L510" s="115" t="s">
        <v>3022</v>
      </c>
      <c r="M510" s="115" t="s">
        <v>3004</v>
      </c>
      <c r="N510" s="115">
        <v>41123</v>
      </c>
      <c r="O510" s="112">
        <v>2</v>
      </c>
      <c r="P510" s="116" t="s">
        <v>2687</v>
      </c>
      <c r="Q510" s="112" t="str">
        <f t="shared" si="114"/>
        <v/>
      </c>
      <c r="R510" s="112">
        <f t="shared" si="115"/>
        <v>1</v>
      </c>
      <c r="S510" s="112">
        <f t="shared" si="118"/>
        <v>1</v>
      </c>
      <c r="T510" s="112">
        <f t="shared" si="119"/>
        <v>0</v>
      </c>
      <c r="U510" s="112">
        <f t="shared" si="120"/>
        <v>0</v>
      </c>
      <c r="V510" s="112">
        <f t="shared" si="121"/>
        <v>2</v>
      </c>
      <c r="W510" s="112">
        <f t="shared" si="122"/>
        <v>2</v>
      </c>
      <c r="X510" s="112" t="str">
        <f t="shared" si="116"/>
        <v/>
      </c>
      <c r="Y510" s="112" t="str">
        <f t="shared" si="117"/>
        <v/>
      </c>
      <c r="Z510" s="112" t="str">
        <f t="shared" si="123"/>
        <v/>
      </c>
      <c r="AA510" s="112" t="str">
        <f t="shared" si="124"/>
        <v/>
      </c>
      <c r="AB510" s="112" t="str">
        <f t="shared" si="125"/>
        <v/>
      </c>
      <c r="AC510" s="112" t="str">
        <f t="shared" si="126"/>
        <v/>
      </c>
      <c r="AD510" s="112" t="str">
        <f t="shared" si="127"/>
        <v/>
      </c>
    </row>
    <row r="511" spans="1:30" x14ac:dyDescent="0.2">
      <c r="A511" s="112" t="str">
        <f>IF(SUM(Q511:R511)=1,1+MAX($A$1:A510),"")</f>
        <v/>
      </c>
      <c r="B511" s="112" t="str">
        <f>IF(SUM(X511:Y511)=1,1+MAX($B$1:B510),"")</f>
        <v/>
      </c>
      <c r="C511" s="112" t="str">
        <f>IF(SUM(Q511:R511,X511:Y511)=2,1+MAX($C$1:C510),"")</f>
        <v/>
      </c>
      <c r="D511" s="113">
        <v>30122</v>
      </c>
      <c r="E511" s="112">
        <v>1982</v>
      </c>
      <c r="F511" s="112" t="s">
        <v>3024</v>
      </c>
      <c r="G511" s="112">
        <v>2</v>
      </c>
      <c r="H511" s="114" t="s">
        <v>2650</v>
      </c>
      <c r="I511" s="112">
        <f t="shared" si="112"/>
        <v>1</v>
      </c>
      <c r="J511" s="112">
        <f t="shared" si="113"/>
        <v>4</v>
      </c>
      <c r="K511" s="115" t="s">
        <v>2547</v>
      </c>
      <c r="L511" s="115" t="s">
        <v>3025</v>
      </c>
      <c r="M511" s="115" t="s">
        <v>3045</v>
      </c>
      <c r="N511" s="115">
        <v>42000</v>
      </c>
      <c r="O511" s="112">
        <v>2</v>
      </c>
      <c r="P511" s="116" t="s">
        <v>2743</v>
      </c>
      <c r="Q511" s="112" t="str">
        <f t="shared" si="114"/>
        <v/>
      </c>
      <c r="R511" s="112" t="str">
        <f t="shared" si="115"/>
        <v/>
      </c>
      <c r="S511" s="112" t="str">
        <f t="shared" si="118"/>
        <v/>
      </c>
      <c r="T511" s="112" t="str">
        <f t="shared" si="119"/>
        <v/>
      </c>
      <c r="U511" s="112" t="str">
        <f t="shared" si="120"/>
        <v/>
      </c>
      <c r="V511" s="112" t="str">
        <f t="shared" si="121"/>
        <v/>
      </c>
      <c r="W511" s="112" t="str">
        <f t="shared" si="122"/>
        <v/>
      </c>
      <c r="X511" s="112" t="str">
        <f t="shared" si="116"/>
        <v/>
      </c>
      <c r="Y511" s="112" t="str">
        <f t="shared" si="117"/>
        <v/>
      </c>
      <c r="Z511" s="112" t="str">
        <f t="shared" si="123"/>
        <v/>
      </c>
      <c r="AA511" s="112" t="str">
        <f t="shared" si="124"/>
        <v/>
      </c>
      <c r="AB511" s="112" t="str">
        <f t="shared" si="125"/>
        <v/>
      </c>
      <c r="AC511" s="112" t="str">
        <f t="shared" si="126"/>
        <v/>
      </c>
      <c r="AD511" s="112" t="str">
        <f t="shared" si="127"/>
        <v/>
      </c>
    </row>
    <row r="512" spans="1:30" x14ac:dyDescent="0.2">
      <c r="A512" s="112" t="str">
        <f>IF(SUM(Q512:R512)=1,1+MAX($A$1:A511),"")</f>
        <v/>
      </c>
      <c r="B512" s="112" t="str">
        <f>IF(SUM(X512:Y512)=1,1+MAX($B$1:B511),"")</f>
        <v/>
      </c>
      <c r="C512" s="112" t="str">
        <f>IF(SUM(Q512:R512,X512:Y512)=2,1+MAX($C$1:C511),"")</f>
        <v/>
      </c>
      <c r="D512" s="113">
        <v>30121</v>
      </c>
      <c r="E512" s="112">
        <v>1982</v>
      </c>
      <c r="F512" s="112" t="s">
        <v>3030</v>
      </c>
      <c r="G512" s="112">
        <v>6</v>
      </c>
      <c r="H512" s="114" t="s">
        <v>2733</v>
      </c>
      <c r="I512" s="112">
        <f t="shared" si="112"/>
        <v>0</v>
      </c>
      <c r="J512" s="112">
        <f t="shared" si="113"/>
        <v>3</v>
      </c>
      <c r="K512" s="115" t="s">
        <v>2720</v>
      </c>
      <c r="L512" s="115" t="s">
        <v>3037</v>
      </c>
      <c r="M512" s="115" t="s">
        <v>3046</v>
      </c>
      <c r="N512" s="115">
        <v>19000</v>
      </c>
      <c r="O512" s="112">
        <v>2</v>
      </c>
      <c r="P512" s="116" t="s">
        <v>2607</v>
      </c>
      <c r="Q512" s="112" t="str">
        <f t="shared" si="114"/>
        <v/>
      </c>
      <c r="R512" s="112" t="str">
        <f t="shared" si="115"/>
        <v/>
      </c>
      <c r="S512" s="112" t="str">
        <f t="shared" si="118"/>
        <v/>
      </c>
      <c r="T512" s="112" t="str">
        <f t="shared" si="119"/>
        <v/>
      </c>
      <c r="U512" s="112" t="str">
        <f t="shared" si="120"/>
        <v/>
      </c>
      <c r="V512" s="112" t="str">
        <f t="shared" si="121"/>
        <v/>
      </c>
      <c r="W512" s="112" t="str">
        <f t="shared" si="122"/>
        <v/>
      </c>
      <c r="X512" s="112" t="str">
        <f t="shared" si="116"/>
        <v/>
      </c>
      <c r="Y512" s="112" t="str">
        <f t="shared" si="117"/>
        <v/>
      </c>
      <c r="Z512" s="112" t="str">
        <f t="shared" si="123"/>
        <v/>
      </c>
      <c r="AA512" s="112" t="str">
        <f t="shared" si="124"/>
        <v/>
      </c>
      <c r="AB512" s="112" t="str">
        <f t="shared" si="125"/>
        <v/>
      </c>
      <c r="AC512" s="112" t="str">
        <f t="shared" si="126"/>
        <v/>
      </c>
      <c r="AD512" s="112" t="str">
        <f t="shared" si="127"/>
        <v/>
      </c>
    </row>
    <row r="513" spans="1:30" x14ac:dyDescent="0.2">
      <c r="A513" s="112" t="str">
        <f>IF(SUM(Q513:R513)=1,1+MAX($A$1:A512),"")</f>
        <v/>
      </c>
      <c r="B513" s="112" t="str">
        <f>IF(SUM(X513:Y513)=1,1+MAX($B$1:B512),"")</f>
        <v/>
      </c>
      <c r="C513" s="112" t="str">
        <f>IF(SUM(Q513:R513,X513:Y513)=2,1+MAX($C$1:C512),"")</f>
        <v/>
      </c>
      <c r="D513" s="113">
        <v>30121</v>
      </c>
      <c r="E513" s="112">
        <v>1982</v>
      </c>
      <c r="F513" s="112" t="s">
        <v>3033</v>
      </c>
      <c r="G513" s="112">
        <v>3</v>
      </c>
      <c r="H513" s="114" t="s">
        <v>2554</v>
      </c>
      <c r="I513" s="112">
        <f t="shared" si="112"/>
        <v>1</v>
      </c>
      <c r="J513" s="112">
        <f t="shared" si="113"/>
        <v>0</v>
      </c>
      <c r="K513" s="115" t="s">
        <v>2712</v>
      </c>
      <c r="L513" s="115" t="s">
        <v>3038</v>
      </c>
      <c r="M513" s="115" t="s">
        <v>3047</v>
      </c>
      <c r="N513" s="115">
        <v>15000</v>
      </c>
      <c r="O513" s="112">
        <v>3</v>
      </c>
      <c r="P513" s="116" t="s">
        <v>2622</v>
      </c>
      <c r="Q513" s="112" t="str">
        <f t="shared" si="114"/>
        <v/>
      </c>
      <c r="R513" s="112" t="str">
        <f t="shared" si="115"/>
        <v/>
      </c>
      <c r="S513" s="112" t="str">
        <f t="shared" si="118"/>
        <v/>
      </c>
      <c r="T513" s="112" t="str">
        <f t="shared" si="119"/>
        <v/>
      </c>
      <c r="U513" s="112" t="str">
        <f t="shared" si="120"/>
        <v/>
      </c>
      <c r="V513" s="112" t="str">
        <f t="shared" si="121"/>
        <v/>
      </c>
      <c r="W513" s="112" t="str">
        <f t="shared" si="122"/>
        <v/>
      </c>
      <c r="X513" s="112" t="str">
        <f t="shared" si="116"/>
        <v/>
      </c>
      <c r="Y513" s="112" t="str">
        <f t="shared" si="117"/>
        <v/>
      </c>
      <c r="Z513" s="112" t="str">
        <f t="shared" si="123"/>
        <v/>
      </c>
      <c r="AA513" s="112" t="str">
        <f t="shared" si="124"/>
        <v/>
      </c>
      <c r="AB513" s="112" t="str">
        <f t="shared" si="125"/>
        <v/>
      </c>
      <c r="AC513" s="112" t="str">
        <f t="shared" si="126"/>
        <v/>
      </c>
      <c r="AD513" s="112" t="str">
        <f t="shared" si="127"/>
        <v/>
      </c>
    </row>
    <row r="514" spans="1:30" x14ac:dyDescent="0.2">
      <c r="A514" s="112" t="str">
        <f>IF(SUM(Q514:R514)=1,1+MAX($A$1:A513),"")</f>
        <v/>
      </c>
      <c r="B514" s="112" t="str">
        <f>IF(SUM(X514:Y514)=1,1+MAX($B$1:B513),"")</f>
        <v/>
      </c>
      <c r="C514" s="112" t="str">
        <f>IF(SUM(Q514:R514,X514:Y514)=2,1+MAX($C$1:C513),"")</f>
        <v/>
      </c>
      <c r="D514" s="113">
        <v>30121</v>
      </c>
      <c r="E514" s="112">
        <v>1982</v>
      </c>
      <c r="F514" s="112" t="s">
        <v>3035</v>
      </c>
      <c r="G514" s="112">
        <v>1</v>
      </c>
      <c r="H514" s="114" t="s">
        <v>2693</v>
      </c>
      <c r="I514" s="112">
        <f t="shared" ref="I514:I577" si="128">INT(LEFT(P514,FIND("-",P514)-1))</f>
        <v>0</v>
      </c>
      <c r="J514" s="112">
        <f t="shared" ref="J514:J577" si="129">INT(RIGHT(P514,LEN(P514)-FIND("-",P514)-1))</f>
        <v>0</v>
      </c>
      <c r="K514" s="115" t="s">
        <v>2544</v>
      </c>
      <c r="L514" s="115" t="s">
        <v>3040</v>
      </c>
      <c r="M514" s="115" t="s">
        <v>2974</v>
      </c>
      <c r="N514" s="115">
        <v>19000</v>
      </c>
      <c r="O514" s="112">
        <v>2</v>
      </c>
      <c r="P514" s="116" t="s">
        <v>2613</v>
      </c>
      <c r="Q514" s="112" t="str">
        <f t="shared" ref="Q514:Q577" si="130">IF(H514=team1,1,"")</f>
        <v/>
      </c>
      <c r="R514" s="112" t="str">
        <f t="shared" ref="R514:R577" si="131">IF(K514=team1,1,"")</f>
        <v/>
      </c>
      <c r="S514" s="112" t="str">
        <f t="shared" si="118"/>
        <v/>
      </c>
      <c r="T514" s="112" t="str">
        <f t="shared" si="119"/>
        <v/>
      </c>
      <c r="U514" s="112" t="str">
        <f t="shared" si="120"/>
        <v/>
      </c>
      <c r="V514" s="112" t="str">
        <f t="shared" si="121"/>
        <v/>
      </c>
      <c r="W514" s="112" t="str">
        <f t="shared" si="122"/>
        <v/>
      </c>
      <c r="X514" s="112" t="str">
        <f t="shared" ref="X514:X577" si="132">IF(H514=team2,1,"")</f>
        <v/>
      </c>
      <c r="Y514" s="112" t="str">
        <f t="shared" ref="Y514:Y577" si="133">IF(K514=team2,1,"")</f>
        <v/>
      </c>
      <c r="Z514" s="112" t="str">
        <f t="shared" si="123"/>
        <v/>
      </c>
      <c r="AA514" s="112" t="str">
        <f t="shared" si="124"/>
        <v/>
      </c>
      <c r="AB514" s="112" t="str">
        <f t="shared" si="125"/>
        <v/>
      </c>
      <c r="AC514" s="112" t="str">
        <f t="shared" si="126"/>
        <v/>
      </c>
      <c r="AD514" s="112" t="str">
        <f t="shared" si="127"/>
        <v/>
      </c>
    </row>
    <row r="515" spans="1:30" x14ac:dyDescent="0.2">
      <c r="A515" s="112" t="str">
        <f>IF(SUM(Q515:R515)=1,1+MAX($A$1:A514),"")</f>
        <v/>
      </c>
      <c r="B515" s="112" t="str">
        <f>IF(SUM(X515:Y515)=1,1+MAX($B$1:B514),"")</f>
        <v/>
      </c>
      <c r="C515" s="112" t="str">
        <f>IF(SUM(Q515:R515,X515:Y515)=2,1+MAX($C$1:C514),"")</f>
        <v/>
      </c>
      <c r="D515" s="113">
        <v>30120</v>
      </c>
      <c r="E515" s="112">
        <v>1982</v>
      </c>
      <c r="F515" s="112" t="s">
        <v>3030</v>
      </c>
      <c r="G515" s="112">
        <v>6</v>
      </c>
      <c r="H515" s="114" t="s">
        <v>1442</v>
      </c>
      <c r="I515" s="112">
        <f t="shared" si="128"/>
        <v>4</v>
      </c>
      <c r="J515" s="112">
        <f t="shared" si="129"/>
        <v>1</v>
      </c>
      <c r="K515" s="115" t="s">
        <v>2717</v>
      </c>
      <c r="L515" s="115" t="s">
        <v>3031</v>
      </c>
      <c r="M515" s="115" t="s">
        <v>3016</v>
      </c>
      <c r="N515" s="115">
        <v>47379</v>
      </c>
      <c r="O515" s="112">
        <v>2</v>
      </c>
      <c r="P515" s="116" t="s">
        <v>2683</v>
      </c>
      <c r="Q515" s="112" t="str">
        <f t="shared" si="130"/>
        <v/>
      </c>
      <c r="R515" s="112" t="str">
        <f t="shared" si="131"/>
        <v/>
      </c>
      <c r="S515" s="112" t="str">
        <f t="shared" ref="S515:S578" si="134">IF(Q515=1,IF($I515&gt;$J515,1,0),IF(R515=1,IF($I515&lt;$J515,1,0),""))</f>
        <v/>
      </c>
      <c r="T515" s="112" t="str">
        <f t="shared" ref="T515:T578" si="135">IF(Q515=1,IF($I515=$J515,1,0),IF(R515=1,IF($I515=$J515,1,0),""))</f>
        <v/>
      </c>
      <c r="U515" s="112" t="str">
        <f t="shared" ref="U515:U578" si="136">IF(Q515=1,IF($I515&lt;$J515,1,0),IF(R515=1,IF($I515&gt;$J515,1,0),""))</f>
        <v/>
      </c>
      <c r="V515" s="112" t="str">
        <f t="shared" ref="V515:V578" si="137">IF(SUM(Q515:R515)=1,$I515+$J515,"")</f>
        <v/>
      </c>
      <c r="W515" s="112" t="str">
        <f t="shared" ref="W515:W578" si="138">IF(Q515=1,$I515-$J515,IF(R515=1,-($I515-$J515),""))</f>
        <v/>
      </c>
      <c r="X515" s="112" t="str">
        <f t="shared" si="132"/>
        <v/>
      </c>
      <c r="Y515" s="112" t="str">
        <f t="shared" si="133"/>
        <v/>
      </c>
      <c r="Z515" s="112" t="str">
        <f t="shared" ref="Z515:Z578" si="139">IF(X515=1,IF($I515&gt;$J515,1,0),IF(Y515=1,IF($I515&lt;$J515,1,0),""))</f>
        <v/>
      </c>
      <c r="AA515" s="112" t="str">
        <f t="shared" ref="AA515:AA578" si="140">IF(X515=1,IF($I515=$J515,1,0),IF(Y515=1,IF($I515=$J515,1,0),""))</f>
        <v/>
      </c>
      <c r="AB515" s="112" t="str">
        <f t="shared" ref="AB515:AB578" si="141">IF(X515=1,IF($I515&lt;$J515,1,0),IF(Y515=1,IF($I515&gt;$J515,1,0),""))</f>
        <v/>
      </c>
      <c r="AC515" s="112" t="str">
        <f t="shared" ref="AC515:AC578" si="142">IF(SUM(X515:Y515)=1,$I515+$J515,"")</f>
        <v/>
      </c>
      <c r="AD515" s="112" t="str">
        <f t="shared" ref="AD515:AD578" si="143">IF(X515=1,$I515-$J515,IF(Y515=1,-($I515-$J515),""))</f>
        <v/>
      </c>
    </row>
    <row r="516" spans="1:30" x14ac:dyDescent="0.2">
      <c r="A516" s="112" t="str">
        <f>IF(SUM(Q516:R516)=1,1+MAX($A$1:A515),"")</f>
        <v/>
      </c>
      <c r="B516" s="112">
        <f>IF(SUM(X516:Y516)=1,1+MAX($B$1:B515),"")</f>
        <v>47</v>
      </c>
      <c r="C516" s="112" t="str">
        <f>IF(SUM(Q516:R516,X516:Y516)=2,1+MAX($C$1:C515),"")</f>
        <v/>
      </c>
      <c r="D516" s="113">
        <v>30120</v>
      </c>
      <c r="E516" s="112">
        <v>1982</v>
      </c>
      <c r="F516" s="112" t="s">
        <v>3033</v>
      </c>
      <c r="G516" s="112">
        <v>3</v>
      </c>
      <c r="H516" s="114" t="s">
        <v>1134</v>
      </c>
      <c r="I516" s="112">
        <f t="shared" si="128"/>
        <v>4</v>
      </c>
      <c r="J516" s="112">
        <f t="shared" si="129"/>
        <v>1</v>
      </c>
      <c r="K516" s="115" t="s">
        <v>2725</v>
      </c>
      <c r="L516" s="115" t="s">
        <v>3001</v>
      </c>
      <c r="M516" s="115" t="s">
        <v>3048</v>
      </c>
      <c r="N516" s="115">
        <v>32093</v>
      </c>
      <c r="O516" s="112">
        <v>2</v>
      </c>
      <c r="P516" s="116" t="s">
        <v>2683</v>
      </c>
      <c r="Q516" s="112" t="str">
        <f t="shared" si="130"/>
        <v/>
      </c>
      <c r="R516" s="112" t="str">
        <f t="shared" si="131"/>
        <v/>
      </c>
      <c r="S516" s="112" t="str">
        <f t="shared" si="134"/>
        <v/>
      </c>
      <c r="T516" s="112" t="str">
        <f t="shared" si="135"/>
        <v/>
      </c>
      <c r="U516" s="112" t="str">
        <f t="shared" si="136"/>
        <v/>
      </c>
      <c r="V516" s="112" t="str">
        <f t="shared" si="137"/>
        <v/>
      </c>
      <c r="W516" s="112" t="str">
        <f t="shared" si="138"/>
        <v/>
      </c>
      <c r="X516" s="112">
        <f t="shared" si="132"/>
        <v>1</v>
      </c>
      <c r="Y516" s="112" t="str">
        <f t="shared" si="133"/>
        <v/>
      </c>
      <c r="Z516" s="112">
        <f t="shared" si="139"/>
        <v>1</v>
      </c>
      <c r="AA516" s="112">
        <f t="shared" si="140"/>
        <v>0</v>
      </c>
      <c r="AB516" s="112">
        <f t="shared" si="141"/>
        <v>0</v>
      </c>
      <c r="AC516" s="112">
        <f t="shared" si="142"/>
        <v>5</v>
      </c>
      <c r="AD516" s="112">
        <f t="shared" si="143"/>
        <v>3</v>
      </c>
    </row>
    <row r="517" spans="1:30" x14ac:dyDescent="0.2">
      <c r="A517" s="112" t="str">
        <f>IF(SUM(Q517:R517)=1,1+MAX($A$1:A516),"")</f>
        <v/>
      </c>
      <c r="B517" s="112" t="str">
        <f>IF(SUM(X517:Y517)=1,1+MAX($B$1:B516),"")</f>
        <v/>
      </c>
      <c r="C517" s="112" t="str">
        <f>IF(SUM(Q517:R517,X517:Y517)=2,1+MAX($C$1:C516),"")</f>
        <v/>
      </c>
      <c r="D517" s="113">
        <v>30120</v>
      </c>
      <c r="E517" s="112">
        <v>1982</v>
      </c>
      <c r="F517" s="112" t="s">
        <v>3035</v>
      </c>
      <c r="G517" s="112">
        <v>1</v>
      </c>
      <c r="H517" s="114" t="s">
        <v>2674</v>
      </c>
      <c r="I517" s="112">
        <f t="shared" si="128"/>
        <v>1</v>
      </c>
      <c r="J517" s="112">
        <f t="shared" si="129"/>
        <v>1</v>
      </c>
      <c r="K517" s="115" t="s">
        <v>2134</v>
      </c>
      <c r="L517" s="115" t="s">
        <v>3036</v>
      </c>
      <c r="M517" s="115" t="s">
        <v>3049</v>
      </c>
      <c r="N517" s="115">
        <v>25000</v>
      </c>
      <c r="O517" s="112">
        <v>2</v>
      </c>
      <c r="P517" s="116" t="s">
        <v>2645</v>
      </c>
      <c r="Q517" s="112" t="str">
        <f t="shared" si="130"/>
        <v/>
      </c>
      <c r="R517" s="112" t="str">
        <f t="shared" si="131"/>
        <v/>
      </c>
      <c r="S517" s="112" t="str">
        <f t="shared" si="134"/>
        <v/>
      </c>
      <c r="T517" s="112" t="str">
        <f t="shared" si="135"/>
        <v/>
      </c>
      <c r="U517" s="112" t="str">
        <f t="shared" si="136"/>
        <v/>
      </c>
      <c r="V517" s="112" t="str">
        <f t="shared" si="137"/>
        <v/>
      </c>
      <c r="W517" s="112" t="str">
        <f t="shared" si="138"/>
        <v/>
      </c>
      <c r="X517" s="112" t="str">
        <f t="shared" si="132"/>
        <v/>
      </c>
      <c r="Y517" s="112" t="str">
        <f t="shared" si="133"/>
        <v/>
      </c>
      <c r="Z517" s="112" t="str">
        <f t="shared" si="139"/>
        <v/>
      </c>
      <c r="AA517" s="112" t="str">
        <f t="shared" si="140"/>
        <v/>
      </c>
      <c r="AB517" s="112" t="str">
        <f t="shared" si="141"/>
        <v/>
      </c>
      <c r="AC517" s="112" t="str">
        <f t="shared" si="142"/>
        <v/>
      </c>
      <c r="AD517" s="112" t="str">
        <f t="shared" si="143"/>
        <v/>
      </c>
    </row>
    <row r="518" spans="1:30" x14ac:dyDescent="0.2">
      <c r="A518" s="112" t="str">
        <f>IF(SUM(Q518:R518)=1,1+MAX($A$1:A517),"")</f>
        <v/>
      </c>
      <c r="B518" s="112" t="str">
        <f>IF(SUM(X518:Y518)=1,1+MAX($B$1:B517),"")</f>
        <v/>
      </c>
      <c r="C518" s="112" t="str">
        <f>IF(SUM(Q518:R518,X518:Y518)=2,1+MAX($C$1:C517),"")</f>
        <v/>
      </c>
      <c r="D518" s="113">
        <v>30119</v>
      </c>
      <c r="E518" s="112">
        <v>1982</v>
      </c>
      <c r="F518" s="112" t="s">
        <v>3017</v>
      </c>
      <c r="G518" s="112">
        <v>5</v>
      </c>
      <c r="H518" s="114" t="s">
        <v>2715</v>
      </c>
      <c r="I518" s="112">
        <f t="shared" si="128"/>
        <v>0</v>
      </c>
      <c r="J518" s="112">
        <f t="shared" si="129"/>
        <v>0</v>
      </c>
      <c r="K518" s="115" t="s">
        <v>2862</v>
      </c>
      <c r="L518" s="115" t="s">
        <v>3026</v>
      </c>
      <c r="M518" s="115" t="s">
        <v>2953</v>
      </c>
      <c r="N518" s="115">
        <v>25000</v>
      </c>
      <c r="O518" s="112">
        <v>2</v>
      </c>
      <c r="P518" s="116" t="s">
        <v>2613</v>
      </c>
      <c r="Q518" s="112" t="str">
        <f t="shared" si="130"/>
        <v/>
      </c>
      <c r="R518" s="112" t="str">
        <f t="shared" si="131"/>
        <v/>
      </c>
      <c r="S518" s="112" t="str">
        <f t="shared" si="134"/>
        <v/>
      </c>
      <c r="T518" s="112" t="str">
        <f t="shared" si="135"/>
        <v/>
      </c>
      <c r="U518" s="112" t="str">
        <f t="shared" si="136"/>
        <v/>
      </c>
      <c r="V518" s="112" t="str">
        <f t="shared" si="137"/>
        <v/>
      </c>
      <c r="W518" s="112" t="str">
        <f t="shared" si="138"/>
        <v/>
      </c>
      <c r="X518" s="112" t="str">
        <f t="shared" si="132"/>
        <v/>
      </c>
      <c r="Y518" s="112" t="str">
        <f t="shared" si="133"/>
        <v/>
      </c>
      <c r="Z518" s="112" t="str">
        <f t="shared" si="139"/>
        <v/>
      </c>
      <c r="AA518" s="112" t="str">
        <f t="shared" si="140"/>
        <v/>
      </c>
      <c r="AB518" s="112" t="str">
        <f t="shared" si="141"/>
        <v/>
      </c>
      <c r="AC518" s="112" t="str">
        <f t="shared" si="142"/>
        <v/>
      </c>
      <c r="AD518" s="112" t="str">
        <f t="shared" si="143"/>
        <v/>
      </c>
    </row>
    <row r="519" spans="1:30" x14ac:dyDescent="0.2">
      <c r="A519" s="112" t="str">
        <f>IF(SUM(Q519:R519)=1,1+MAX($A$1:A518),"")</f>
        <v/>
      </c>
      <c r="B519" s="112" t="str">
        <f>IF(SUM(X519:Y519)=1,1+MAX($B$1:B518),"")</f>
        <v/>
      </c>
      <c r="C519" s="112" t="str">
        <f>IF(SUM(Q519:R519,X519:Y519)=2,1+MAX($C$1:C518),"")</f>
        <v/>
      </c>
      <c r="D519" s="113">
        <v>30119</v>
      </c>
      <c r="E519" s="112">
        <v>1982</v>
      </c>
      <c r="F519" s="112" t="s">
        <v>3020</v>
      </c>
      <c r="G519" s="112">
        <v>4</v>
      </c>
      <c r="H519" s="114" t="s">
        <v>2648</v>
      </c>
      <c r="I519" s="112">
        <f t="shared" si="128"/>
        <v>1</v>
      </c>
      <c r="J519" s="112">
        <f t="shared" si="129"/>
        <v>1</v>
      </c>
      <c r="K519" s="115" t="s">
        <v>3021</v>
      </c>
      <c r="L519" s="115" t="s">
        <v>3028</v>
      </c>
      <c r="M519" s="115" t="s">
        <v>3050</v>
      </c>
      <c r="N519" s="115">
        <v>25000</v>
      </c>
      <c r="O519" s="112">
        <v>2</v>
      </c>
      <c r="P519" s="116" t="s">
        <v>2645</v>
      </c>
      <c r="Q519" s="112" t="str">
        <f t="shared" si="130"/>
        <v/>
      </c>
      <c r="R519" s="112" t="str">
        <f t="shared" si="131"/>
        <v/>
      </c>
      <c r="S519" s="112" t="str">
        <f t="shared" si="134"/>
        <v/>
      </c>
      <c r="T519" s="112" t="str">
        <f t="shared" si="135"/>
        <v/>
      </c>
      <c r="U519" s="112" t="str">
        <f t="shared" si="136"/>
        <v/>
      </c>
      <c r="V519" s="112" t="str">
        <f t="shared" si="137"/>
        <v/>
      </c>
      <c r="W519" s="112" t="str">
        <f t="shared" si="138"/>
        <v/>
      </c>
      <c r="X519" s="112" t="str">
        <f t="shared" si="132"/>
        <v/>
      </c>
      <c r="Y519" s="112" t="str">
        <f t="shared" si="133"/>
        <v/>
      </c>
      <c r="Z519" s="112" t="str">
        <f t="shared" si="139"/>
        <v/>
      </c>
      <c r="AA519" s="112" t="str">
        <f t="shared" si="140"/>
        <v/>
      </c>
      <c r="AB519" s="112" t="str">
        <f t="shared" si="141"/>
        <v/>
      </c>
      <c r="AC519" s="112" t="str">
        <f t="shared" si="142"/>
        <v/>
      </c>
      <c r="AD519" s="112" t="str">
        <f t="shared" si="143"/>
        <v/>
      </c>
    </row>
    <row r="520" spans="1:30" x14ac:dyDescent="0.2">
      <c r="A520" s="112" t="str">
        <f>IF(SUM(Q520:R520)=1,1+MAX($A$1:A519),"")</f>
        <v/>
      </c>
      <c r="B520" s="112" t="str">
        <f>IF(SUM(X520:Y520)=1,1+MAX($B$1:B519),"")</f>
        <v/>
      </c>
      <c r="C520" s="112" t="str">
        <f>IF(SUM(Q520:R520,X520:Y520)=2,1+MAX($C$1:C519),"")</f>
        <v/>
      </c>
      <c r="D520" s="113">
        <v>30119</v>
      </c>
      <c r="E520" s="112">
        <v>1982</v>
      </c>
      <c r="F520" s="112" t="s">
        <v>3024</v>
      </c>
      <c r="G520" s="112">
        <v>2</v>
      </c>
      <c r="H520" s="114" t="s">
        <v>2623</v>
      </c>
      <c r="I520" s="112">
        <f t="shared" si="128"/>
        <v>1</v>
      </c>
      <c r="J520" s="112">
        <f t="shared" si="129"/>
        <v>0</v>
      </c>
      <c r="K520" s="115" t="s">
        <v>2650</v>
      </c>
      <c r="L520" s="115" t="s">
        <v>3029</v>
      </c>
      <c r="M520" s="115" t="s">
        <v>2956</v>
      </c>
      <c r="N520" s="115">
        <v>22500</v>
      </c>
      <c r="O520" s="112">
        <v>2</v>
      </c>
      <c r="P520" s="116" t="s">
        <v>2622</v>
      </c>
      <c r="Q520" s="112" t="str">
        <f t="shared" si="130"/>
        <v/>
      </c>
      <c r="R520" s="112" t="str">
        <f t="shared" si="131"/>
        <v/>
      </c>
      <c r="S520" s="112" t="str">
        <f t="shared" si="134"/>
        <v/>
      </c>
      <c r="T520" s="112" t="str">
        <f t="shared" si="135"/>
        <v/>
      </c>
      <c r="U520" s="112" t="str">
        <f t="shared" si="136"/>
        <v/>
      </c>
      <c r="V520" s="112" t="str">
        <f t="shared" si="137"/>
        <v/>
      </c>
      <c r="W520" s="112" t="str">
        <f t="shared" si="138"/>
        <v/>
      </c>
      <c r="X520" s="112" t="str">
        <f t="shared" si="132"/>
        <v/>
      </c>
      <c r="Y520" s="112" t="str">
        <f t="shared" si="133"/>
        <v/>
      </c>
      <c r="Z520" s="112" t="str">
        <f t="shared" si="139"/>
        <v/>
      </c>
      <c r="AA520" s="112" t="str">
        <f t="shared" si="140"/>
        <v/>
      </c>
      <c r="AB520" s="112" t="str">
        <f t="shared" si="141"/>
        <v/>
      </c>
      <c r="AC520" s="112" t="str">
        <f t="shared" si="142"/>
        <v/>
      </c>
      <c r="AD520" s="112" t="str">
        <f t="shared" si="143"/>
        <v/>
      </c>
    </row>
    <row r="521" spans="1:30" x14ac:dyDescent="0.2">
      <c r="A521" s="112" t="str">
        <f>IF(SUM(Q521:R521)=1,1+MAX($A$1:A520),"")</f>
        <v/>
      </c>
      <c r="B521" s="112" t="str">
        <f>IF(SUM(X521:Y521)=1,1+MAX($B$1:B520),"")</f>
        <v/>
      </c>
      <c r="C521" s="112" t="str">
        <f>IF(SUM(Q521:R521,X521:Y521)=2,1+MAX($C$1:C520),"")</f>
        <v/>
      </c>
      <c r="D521" s="113">
        <v>30118</v>
      </c>
      <c r="E521" s="112">
        <v>1982</v>
      </c>
      <c r="F521" s="112" t="s">
        <v>3017</v>
      </c>
      <c r="G521" s="112">
        <v>5</v>
      </c>
      <c r="H521" s="114" t="s">
        <v>2669</v>
      </c>
      <c r="I521" s="112">
        <f t="shared" si="128"/>
        <v>1</v>
      </c>
      <c r="J521" s="112">
        <f t="shared" si="129"/>
        <v>1</v>
      </c>
      <c r="K521" s="115" t="s">
        <v>2557</v>
      </c>
      <c r="L521" s="115" t="s">
        <v>3018</v>
      </c>
      <c r="M521" s="115" t="s">
        <v>3051</v>
      </c>
      <c r="N521" s="115">
        <v>49562</v>
      </c>
      <c r="O521" s="112">
        <v>3</v>
      </c>
      <c r="P521" s="116" t="s">
        <v>2645</v>
      </c>
      <c r="Q521" s="112" t="str">
        <f t="shared" si="130"/>
        <v/>
      </c>
      <c r="R521" s="112" t="str">
        <f t="shared" si="131"/>
        <v/>
      </c>
      <c r="S521" s="112" t="str">
        <f t="shared" si="134"/>
        <v/>
      </c>
      <c r="T521" s="112" t="str">
        <f t="shared" si="135"/>
        <v/>
      </c>
      <c r="U521" s="112" t="str">
        <f t="shared" si="136"/>
        <v/>
      </c>
      <c r="V521" s="112" t="str">
        <f t="shared" si="137"/>
        <v/>
      </c>
      <c r="W521" s="112" t="str">
        <f t="shared" si="138"/>
        <v/>
      </c>
      <c r="X521" s="112" t="str">
        <f t="shared" si="132"/>
        <v/>
      </c>
      <c r="Y521" s="112" t="str">
        <f t="shared" si="133"/>
        <v/>
      </c>
      <c r="Z521" s="112" t="str">
        <f t="shared" si="139"/>
        <v/>
      </c>
      <c r="AA521" s="112" t="str">
        <f t="shared" si="140"/>
        <v/>
      </c>
      <c r="AB521" s="112" t="str">
        <f t="shared" si="141"/>
        <v/>
      </c>
      <c r="AC521" s="112" t="str">
        <f t="shared" si="142"/>
        <v/>
      </c>
      <c r="AD521" s="112" t="str">
        <f t="shared" si="143"/>
        <v/>
      </c>
    </row>
    <row r="522" spans="1:30" x14ac:dyDescent="0.2">
      <c r="A522" s="112">
        <f>IF(SUM(Q522:R522)=1,1+MAX($A$1:A521),"")</f>
        <v>38</v>
      </c>
      <c r="B522" s="112" t="str">
        <f>IF(SUM(X522:Y522)=1,1+MAX($B$1:B521),"")</f>
        <v/>
      </c>
      <c r="C522" s="112" t="str">
        <f>IF(SUM(Q522:R522,X522:Y522)=2,1+MAX($C$1:C521),"")</f>
        <v/>
      </c>
      <c r="D522" s="113">
        <v>30118</v>
      </c>
      <c r="E522" s="112">
        <v>1982</v>
      </c>
      <c r="F522" s="112" t="s">
        <v>3020</v>
      </c>
      <c r="G522" s="112">
        <v>4</v>
      </c>
      <c r="H522" s="114" t="s">
        <v>2545</v>
      </c>
      <c r="I522" s="112">
        <f t="shared" si="128"/>
        <v>3</v>
      </c>
      <c r="J522" s="112">
        <f t="shared" si="129"/>
        <v>1</v>
      </c>
      <c r="K522" s="115" t="s">
        <v>2541</v>
      </c>
      <c r="L522" s="115" t="s">
        <v>3022</v>
      </c>
      <c r="M522" s="115" t="s">
        <v>3002</v>
      </c>
      <c r="N522" s="115">
        <v>44172</v>
      </c>
      <c r="O522" s="112">
        <v>2</v>
      </c>
      <c r="P522" s="116" t="s">
        <v>2663</v>
      </c>
      <c r="Q522" s="112">
        <f t="shared" si="130"/>
        <v>1</v>
      </c>
      <c r="R522" s="112" t="str">
        <f t="shared" si="131"/>
        <v/>
      </c>
      <c r="S522" s="112">
        <f t="shared" si="134"/>
        <v>1</v>
      </c>
      <c r="T522" s="112">
        <f t="shared" si="135"/>
        <v>0</v>
      </c>
      <c r="U522" s="112">
        <f t="shared" si="136"/>
        <v>0</v>
      </c>
      <c r="V522" s="112">
        <f t="shared" si="137"/>
        <v>4</v>
      </c>
      <c r="W522" s="112">
        <f t="shared" si="138"/>
        <v>2</v>
      </c>
      <c r="X522" s="112" t="str">
        <f t="shared" si="132"/>
        <v/>
      </c>
      <c r="Y522" s="112" t="str">
        <f t="shared" si="133"/>
        <v/>
      </c>
      <c r="Z522" s="112" t="str">
        <f t="shared" si="139"/>
        <v/>
      </c>
      <c r="AA522" s="112" t="str">
        <f t="shared" si="140"/>
        <v/>
      </c>
      <c r="AB522" s="112" t="str">
        <f t="shared" si="141"/>
        <v/>
      </c>
      <c r="AC522" s="112" t="str">
        <f t="shared" si="142"/>
        <v/>
      </c>
      <c r="AD522" s="112" t="str">
        <f t="shared" si="143"/>
        <v/>
      </c>
    </row>
    <row r="523" spans="1:30" x14ac:dyDescent="0.2">
      <c r="A523" s="112" t="str">
        <f>IF(SUM(Q523:R523)=1,1+MAX($A$1:A522),"")</f>
        <v/>
      </c>
      <c r="B523" s="112" t="str">
        <f>IF(SUM(X523:Y523)=1,1+MAX($B$1:B522),"")</f>
        <v/>
      </c>
      <c r="C523" s="112" t="str">
        <f>IF(SUM(Q523:R523,X523:Y523)=2,1+MAX($C$1:C522),"")</f>
        <v/>
      </c>
      <c r="D523" s="113">
        <v>30118</v>
      </c>
      <c r="E523" s="112">
        <v>1982</v>
      </c>
      <c r="F523" s="112" t="s">
        <v>3024</v>
      </c>
      <c r="G523" s="112">
        <v>2</v>
      </c>
      <c r="H523" s="114" t="s">
        <v>2635</v>
      </c>
      <c r="I523" s="112">
        <f t="shared" si="128"/>
        <v>2</v>
      </c>
      <c r="J523" s="112">
        <f t="shared" si="129"/>
        <v>1</v>
      </c>
      <c r="K523" s="115" t="s">
        <v>2547</v>
      </c>
      <c r="L523" s="115" t="s">
        <v>3025</v>
      </c>
      <c r="M523" s="115" t="s">
        <v>3052</v>
      </c>
      <c r="N523" s="115">
        <v>42000</v>
      </c>
      <c r="O523" s="112">
        <v>2</v>
      </c>
      <c r="P523" s="116" t="s">
        <v>2626</v>
      </c>
      <c r="Q523" s="112" t="str">
        <f t="shared" si="130"/>
        <v/>
      </c>
      <c r="R523" s="112" t="str">
        <f t="shared" si="131"/>
        <v/>
      </c>
      <c r="S523" s="112" t="str">
        <f t="shared" si="134"/>
        <v/>
      </c>
      <c r="T523" s="112" t="str">
        <f t="shared" si="135"/>
        <v/>
      </c>
      <c r="U523" s="112" t="str">
        <f t="shared" si="136"/>
        <v/>
      </c>
      <c r="V523" s="112" t="str">
        <f t="shared" si="137"/>
        <v/>
      </c>
      <c r="W523" s="112" t="str">
        <f t="shared" si="138"/>
        <v/>
      </c>
      <c r="X523" s="112" t="str">
        <f t="shared" si="132"/>
        <v/>
      </c>
      <c r="Y523" s="112" t="str">
        <f t="shared" si="133"/>
        <v/>
      </c>
      <c r="Z523" s="112" t="str">
        <f t="shared" si="139"/>
        <v/>
      </c>
      <c r="AA523" s="112" t="str">
        <f t="shared" si="140"/>
        <v/>
      </c>
      <c r="AB523" s="112" t="str">
        <f t="shared" si="141"/>
        <v/>
      </c>
      <c r="AC523" s="112" t="str">
        <f t="shared" si="142"/>
        <v/>
      </c>
      <c r="AD523" s="112" t="str">
        <f t="shared" si="143"/>
        <v/>
      </c>
    </row>
    <row r="524" spans="1:30" x14ac:dyDescent="0.2">
      <c r="A524" s="112" t="str">
        <f>IF(SUM(Q524:R524)=1,1+MAX($A$1:A523),"")</f>
        <v/>
      </c>
      <c r="B524" s="112" t="str">
        <f>IF(SUM(X524:Y524)=1,1+MAX($B$1:B523),"")</f>
        <v/>
      </c>
      <c r="C524" s="112" t="str">
        <f>IF(SUM(Q524:R524,X524:Y524)=2,1+MAX($C$1:C523),"")</f>
        <v/>
      </c>
      <c r="D524" s="113">
        <v>30117</v>
      </c>
      <c r="E524" s="112">
        <v>1982</v>
      </c>
      <c r="F524" s="112" t="s">
        <v>3030</v>
      </c>
      <c r="G524" s="112">
        <v>6</v>
      </c>
      <c r="H524" s="114" t="s">
        <v>2733</v>
      </c>
      <c r="I524" s="112">
        <f t="shared" si="128"/>
        <v>2</v>
      </c>
      <c r="J524" s="112">
        <f t="shared" si="129"/>
        <v>5</v>
      </c>
      <c r="K524" s="115" t="s">
        <v>2717</v>
      </c>
      <c r="L524" s="115" t="s">
        <v>3037</v>
      </c>
      <c r="M524" s="115" t="s">
        <v>2981</v>
      </c>
      <c r="N524" s="115">
        <v>36000</v>
      </c>
      <c r="O524" s="112">
        <v>2</v>
      </c>
      <c r="P524" s="116" t="s">
        <v>3053</v>
      </c>
      <c r="Q524" s="112" t="str">
        <f t="shared" si="130"/>
        <v/>
      </c>
      <c r="R524" s="112" t="str">
        <f t="shared" si="131"/>
        <v/>
      </c>
      <c r="S524" s="112" t="str">
        <f t="shared" si="134"/>
        <v/>
      </c>
      <c r="T524" s="112" t="str">
        <f t="shared" si="135"/>
        <v/>
      </c>
      <c r="U524" s="112" t="str">
        <f t="shared" si="136"/>
        <v/>
      </c>
      <c r="V524" s="112" t="str">
        <f t="shared" si="137"/>
        <v/>
      </c>
      <c r="W524" s="112" t="str">
        <f t="shared" si="138"/>
        <v/>
      </c>
      <c r="X524" s="112" t="str">
        <f t="shared" si="132"/>
        <v/>
      </c>
      <c r="Y524" s="112" t="str">
        <f t="shared" si="133"/>
        <v/>
      </c>
      <c r="Z524" s="112" t="str">
        <f t="shared" si="139"/>
        <v/>
      </c>
      <c r="AA524" s="112" t="str">
        <f t="shared" si="140"/>
        <v/>
      </c>
      <c r="AB524" s="112" t="str">
        <f t="shared" si="141"/>
        <v/>
      </c>
      <c r="AC524" s="112" t="str">
        <f t="shared" si="142"/>
        <v/>
      </c>
      <c r="AD524" s="112" t="str">
        <f t="shared" si="143"/>
        <v/>
      </c>
    </row>
    <row r="525" spans="1:30" x14ac:dyDescent="0.2">
      <c r="A525" s="112" t="str">
        <f>IF(SUM(Q525:R525)=1,1+MAX($A$1:A524),"")</f>
        <v/>
      </c>
      <c r="B525" s="112" t="str">
        <f>IF(SUM(X525:Y525)=1,1+MAX($B$1:B524),"")</f>
        <v/>
      </c>
      <c r="C525" s="112" t="str">
        <f>IF(SUM(Q525:R525,X525:Y525)=2,1+MAX($C$1:C524),"")</f>
        <v/>
      </c>
      <c r="D525" s="113">
        <v>30117</v>
      </c>
      <c r="E525" s="112">
        <v>1982</v>
      </c>
      <c r="F525" s="112" t="s">
        <v>3033</v>
      </c>
      <c r="G525" s="112">
        <v>3</v>
      </c>
      <c r="H525" s="114" t="s">
        <v>2712</v>
      </c>
      <c r="I525" s="112">
        <f t="shared" si="128"/>
        <v>1</v>
      </c>
      <c r="J525" s="112">
        <f t="shared" si="129"/>
        <v>10</v>
      </c>
      <c r="K525" s="115" t="s">
        <v>2725</v>
      </c>
      <c r="L525" s="115" t="s">
        <v>3038</v>
      </c>
      <c r="M525" s="115" t="s">
        <v>3054</v>
      </c>
      <c r="N525" s="115">
        <v>23000</v>
      </c>
      <c r="O525" s="112">
        <v>3</v>
      </c>
      <c r="P525" s="116" t="s">
        <v>3055</v>
      </c>
      <c r="Q525" s="112" t="str">
        <f t="shared" si="130"/>
        <v/>
      </c>
      <c r="R525" s="112" t="str">
        <f t="shared" si="131"/>
        <v/>
      </c>
      <c r="S525" s="112" t="str">
        <f t="shared" si="134"/>
        <v/>
      </c>
      <c r="T525" s="112" t="str">
        <f t="shared" si="135"/>
        <v/>
      </c>
      <c r="U525" s="112" t="str">
        <f t="shared" si="136"/>
        <v/>
      </c>
      <c r="V525" s="112" t="str">
        <f t="shared" si="137"/>
        <v/>
      </c>
      <c r="W525" s="112" t="str">
        <f t="shared" si="138"/>
        <v/>
      </c>
      <c r="X525" s="112" t="str">
        <f t="shared" si="132"/>
        <v/>
      </c>
      <c r="Y525" s="112" t="str">
        <f t="shared" si="133"/>
        <v/>
      </c>
      <c r="Z525" s="112" t="str">
        <f t="shared" si="139"/>
        <v/>
      </c>
      <c r="AA525" s="112" t="str">
        <f t="shared" si="140"/>
        <v/>
      </c>
      <c r="AB525" s="112" t="str">
        <f t="shared" si="141"/>
        <v/>
      </c>
      <c r="AC525" s="112" t="str">
        <f t="shared" si="142"/>
        <v/>
      </c>
      <c r="AD525" s="112" t="str">
        <f t="shared" si="143"/>
        <v/>
      </c>
    </row>
    <row r="526" spans="1:30" x14ac:dyDescent="0.2">
      <c r="A526" s="112" t="str">
        <f>IF(SUM(Q526:R526)=1,1+MAX($A$1:A525),"")</f>
        <v/>
      </c>
      <c r="B526" s="112" t="str">
        <f>IF(SUM(X526:Y526)=1,1+MAX($B$1:B525),"")</f>
        <v/>
      </c>
      <c r="C526" s="112" t="str">
        <f>IF(SUM(Q526:R526,X526:Y526)=2,1+MAX($C$1:C525),"")</f>
        <v/>
      </c>
      <c r="D526" s="113">
        <v>30117</v>
      </c>
      <c r="E526" s="112">
        <v>1982</v>
      </c>
      <c r="F526" s="112" t="s">
        <v>3035</v>
      </c>
      <c r="G526" s="112">
        <v>1</v>
      </c>
      <c r="H526" s="114" t="s">
        <v>2693</v>
      </c>
      <c r="I526" s="112">
        <f t="shared" si="128"/>
        <v>0</v>
      </c>
      <c r="J526" s="112">
        <f t="shared" si="129"/>
        <v>0</v>
      </c>
      <c r="K526" s="115" t="s">
        <v>2134</v>
      </c>
      <c r="L526" s="115" t="s">
        <v>3040</v>
      </c>
      <c r="M526" s="115" t="s">
        <v>3056</v>
      </c>
      <c r="N526" s="115">
        <v>11000</v>
      </c>
      <c r="O526" s="112">
        <v>2</v>
      </c>
      <c r="P526" s="116" t="s">
        <v>2613</v>
      </c>
      <c r="Q526" s="112" t="str">
        <f t="shared" si="130"/>
        <v/>
      </c>
      <c r="R526" s="112" t="str">
        <f t="shared" si="131"/>
        <v/>
      </c>
      <c r="S526" s="112" t="str">
        <f t="shared" si="134"/>
        <v/>
      </c>
      <c r="T526" s="112" t="str">
        <f t="shared" si="135"/>
        <v/>
      </c>
      <c r="U526" s="112" t="str">
        <f t="shared" si="136"/>
        <v/>
      </c>
      <c r="V526" s="112" t="str">
        <f t="shared" si="137"/>
        <v/>
      </c>
      <c r="W526" s="112" t="str">
        <f t="shared" si="138"/>
        <v/>
      </c>
      <c r="X526" s="112" t="str">
        <f t="shared" si="132"/>
        <v/>
      </c>
      <c r="Y526" s="112" t="str">
        <f t="shared" si="133"/>
        <v/>
      </c>
      <c r="Z526" s="112" t="str">
        <f t="shared" si="139"/>
        <v/>
      </c>
      <c r="AA526" s="112" t="str">
        <f t="shared" si="140"/>
        <v/>
      </c>
      <c r="AB526" s="112" t="str">
        <f t="shared" si="141"/>
        <v/>
      </c>
      <c r="AC526" s="112" t="str">
        <f t="shared" si="142"/>
        <v/>
      </c>
      <c r="AD526" s="112" t="str">
        <f t="shared" si="143"/>
        <v/>
      </c>
    </row>
    <row r="527" spans="1:30" x14ac:dyDescent="0.2">
      <c r="A527" s="112" t="str">
        <f>IF(SUM(Q527:R527)=1,1+MAX($A$1:A526),"")</f>
        <v/>
      </c>
      <c r="B527" s="112" t="str">
        <f>IF(SUM(X527:Y527)=1,1+MAX($B$1:B526),"")</f>
        <v/>
      </c>
      <c r="C527" s="112" t="str">
        <f>IF(SUM(Q527:R527,X527:Y527)=2,1+MAX($C$1:C526),"")</f>
        <v/>
      </c>
      <c r="D527" s="113">
        <v>30116</v>
      </c>
      <c r="E527" s="112">
        <v>1982</v>
      </c>
      <c r="F527" s="112" t="s">
        <v>3030</v>
      </c>
      <c r="G527" s="112">
        <v>6</v>
      </c>
      <c r="H527" s="114" t="s">
        <v>1442</v>
      </c>
      <c r="I527" s="112">
        <f t="shared" si="128"/>
        <v>2</v>
      </c>
      <c r="J527" s="112">
        <f t="shared" si="129"/>
        <v>1</v>
      </c>
      <c r="K527" s="115" t="s">
        <v>2720</v>
      </c>
      <c r="L527" s="115" t="s">
        <v>3003</v>
      </c>
      <c r="M527" s="115" t="s">
        <v>3057</v>
      </c>
      <c r="N527" s="115">
        <v>68000</v>
      </c>
      <c r="O527" s="112">
        <v>2</v>
      </c>
      <c r="P527" s="116" t="s">
        <v>2626</v>
      </c>
      <c r="Q527" s="112" t="str">
        <f t="shared" si="130"/>
        <v/>
      </c>
      <c r="R527" s="112" t="str">
        <f t="shared" si="131"/>
        <v/>
      </c>
      <c r="S527" s="112" t="str">
        <f t="shared" si="134"/>
        <v/>
      </c>
      <c r="T527" s="112" t="str">
        <f t="shared" si="135"/>
        <v/>
      </c>
      <c r="U527" s="112" t="str">
        <f t="shared" si="136"/>
        <v/>
      </c>
      <c r="V527" s="112" t="str">
        <f t="shared" si="137"/>
        <v/>
      </c>
      <c r="W527" s="112" t="str">
        <f t="shared" si="138"/>
        <v/>
      </c>
      <c r="X527" s="112" t="str">
        <f t="shared" si="132"/>
        <v/>
      </c>
      <c r="Y527" s="112" t="str">
        <f t="shared" si="133"/>
        <v/>
      </c>
      <c r="Z527" s="112" t="str">
        <f t="shared" si="139"/>
        <v/>
      </c>
      <c r="AA527" s="112" t="str">
        <f t="shared" si="140"/>
        <v/>
      </c>
      <c r="AB527" s="112" t="str">
        <f t="shared" si="141"/>
        <v/>
      </c>
      <c r="AC527" s="112" t="str">
        <f t="shared" si="142"/>
        <v/>
      </c>
      <c r="AD527" s="112" t="str">
        <f t="shared" si="143"/>
        <v/>
      </c>
    </row>
    <row r="528" spans="1:30" x14ac:dyDescent="0.2">
      <c r="A528" s="112" t="str">
        <f>IF(SUM(Q528:R528)=1,1+MAX($A$1:A527),"")</f>
        <v/>
      </c>
      <c r="B528" s="112" t="str">
        <f>IF(SUM(X528:Y528)=1,1+MAX($B$1:B527),"")</f>
        <v/>
      </c>
      <c r="C528" s="112" t="str">
        <f>IF(SUM(Q528:R528,X528:Y528)=2,1+MAX($C$1:C527),"")</f>
        <v/>
      </c>
      <c r="D528" s="113">
        <v>30116</v>
      </c>
      <c r="E528" s="112">
        <v>1982</v>
      </c>
      <c r="F528" s="112" t="s">
        <v>3035</v>
      </c>
      <c r="G528" s="112">
        <v>1</v>
      </c>
      <c r="H528" s="114" t="s">
        <v>2674</v>
      </c>
      <c r="I528" s="112">
        <f t="shared" si="128"/>
        <v>0</v>
      </c>
      <c r="J528" s="112">
        <f t="shared" si="129"/>
        <v>0</v>
      </c>
      <c r="K528" s="115" t="s">
        <v>2544</v>
      </c>
      <c r="L528" s="115" t="s">
        <v>3036</v>
      </c>
      <c r="M528" s="115" t="s">
        <v>2926</v>
      </c>
      <c r="N528" s="115">
        <v>33000</v>
      </c>
      <c r="O528" s="112">
        <v>2</v>
      </c>
      <c r="P528" s="116" t="s">
        <v>2613</v>
      </c>
      <c r="Q528" s="112" t="str">
        <f t="shared" si="130"/>
        <v/>
      </c>
      <c r="R528" s="112" t="str">
        <f t="shared" si="131"/>
        <v/>
      </c>
      <c r="S528" s="112" t="str">
        <f t="shared" si="134"/>
        <v/>
      </c>
      <c r="T528" s="112" t="str">
        <f t="shared" si="135"/>
        <v/>
      </c>
      <c r="U528" s="112" t="str">
        <f t="shared" si="136"/>
        <v/>
      </c>
      <c r="V528" s="112" t="str">
        <f t="shared" si="137"/>
        <v/>
      </c>
      <c r="W528" s="112" t="str">
        <f t="shared" si="138"/>
        <v/>
      </c>
      <c r="X528" s="112" t="str">
        <f t="shared" si="132"/>
        <v/>
      </c>
      <c r="Y528" s="112" t="str">
        <f t="shared" si="133"/>
        <v/>
      </c>
      <c r="Z528" s="112" t="str">
        <f t="shared" si="139"/>
        <v/>
      </c>
      <c r="AA528" s="112" t="str">
        <f t="shared" si="140"/>
        <v/>
      </c>
      <c r="AB528" s="112" t="str">
        <f t="shared" si="141"/>
        <v/>
      </c>
      <c r="AC528" s="112" t="str">
        <f t="shared" si="142"/>
        <v/>
      </c>
      <c r="AD528" s="112" t="str">
        <f t="shared" si="143"/>
        <v/>
      </c>
    </row>
    <row r="529" spans="1:30" x14ac:dyDescent="0.2">
      <c r="A529" s="112" t="str">
        <f>IF(SUM(Q529:R529)=1,1+MAX($A$1:A528),"")</f>
        <v/>
      </c>
      <c r="B529" s="112">
        <f>IF(SUM(X529:Y529)=1,1+MAX($B$1:B528),"")</f>
        <v>48</v>
      </c>
      <c r="C529" s="112" t="str">
        <f>IF(SUM(Q529:R529,X529:Y529)=2,1+MAX($C$1:C528),"")</f>
        <v/>
      </c>
      <c r="D529" s="113">
        <v>30115</v>
      </c>
      <c r="E529" s="112">
        <v>1982</v>
      </c>
      <c r="F529" s="112" t="s">
        <v>3033</v>
      </c>
      <c r="G529" s="112">
        <v>3</v>
      </c>
      <c r="H529" s="114" t="s">
        <v>1134</v>
      </c>
      <c r="I529" s="112">
        <f t="shared" si="128"/>
        <v>0</v>
      </c>
      <c r="J529" s="112">
        <f t="shared" si="129"/>
        <v>1</v>
      </c>
      <c r="K529" s="115" t="s">
        <v>2554</v>
      </c>
      <c r="L529" s="115" t="s">
        <v>3005</v>
      </c>
      <c r="M529" s="115" t="s">
        <v>2991</v>
      </c>
      <c r="N529" s="115">
        <v>95500</v>
      </c>
      <c r="O529" s="112">
        <v>2</v>
      </c>
      <c r="P529" s="116" t="s">
        <v>2601</v>
      </c>
      <c r="Q529" s="112" t="str">
        <f t="shared" si="130"/>
        <v/>
      </c>
      <c r="R529" s="112" t="str">
        <f t="shared" si="131"/>
        <v/>
      </c>
      <c r="S529" s="112" t="str">
        <f t="shared" si="134"/>
        <v/>
      </c>
      <c r="T529" s="112" t="str">
        <f t="shared" si="135"/>
        <v/>
      </c>
      <c r="U529" s="112" t="str">
        <f t="shared" si="136"/>
        <v/>
      </c>
      <c r="V529" s="112" t="str">
        <f t="shared" si="137"/>
        <v/>
      </c>
      <c r="W529" s="112" t="str">
        <f t="shared" si="138"/>
        <v/>
      </c>
      <c r="X529" s="112">
        <f t="shared" si="132"/>
        <v>1</v>
      </c>
      <c r="Y529" s="112" t="str">
        <f t="shared" si="133"/>
        <v/>
      </c>
      <c r="Z529" s="112">
        <f t="shared" si="139"/>
        <v>0</v>
      </c>
      <c r="AA529" s="112">
        <f t="shared" si="140"/>
        <v>0</v>
      </c>
      <c r="AB529" s="112">
        <f t="shared" si="141"/>
        <v>1</v>
      </c>
      <c r="AC529" s="112">
        <f t="shared" si="142"/>
        <v>1</v>
      </c>
      <c r="AD529" s="112">
        <f t="shared" si="143"/>
        <v>-1</v>
      </c>
    </row>
    <row r="530" spans="1:30" x14ac:dyDescent="0.2">
      <c r="A530" s="112" t="str">
        <f>IF(SUM(Q530:R530)=1,1+MAX($A$1:A529),"")</f>
        <v/>
      </c>
      <c r="B530" s="112">
        <f>IF(SUM(X530:Y530)=1,1+MAX($B$1:B529),"")</f>
        <v>49</v>
      </c>
      <c r="C530" s="112" t="str">
        <f>IF(SUM(Q530:R530,X530:Y530)=2,1+MAX($C$1:C529),"")</f>
        <v/>
      </c>
      <c r="D530" s="113">
        <v>28666</v>
      </c>
      <c r="E530" s="112">
        <v>1978</v>
      </c>
      <c r="F530" s="112" t="s">
        <v>2597</v>
      </c>
      <c r="H530" s="114" t="s">
        <v>1134</v>
      </c>
      <c r="I530" s="112">
        <f t="shared" si="128"/>
        <v>3</v>
      </c>
      <c r="J530" s="112">
        <f t="shared" si="129"/>
        <v>1</v>
      </c>
      <c r="K530" s="115" t="s">
        <v>2604</v>
      </c>
      <c r="L530" s="115" t="s">
        <v>3058</v>
      </c>
      <c r="M530" s="115" t="s">
        <v>3059</v>
      </c>
      <c r="N530" s="115">
        <v>71483</v>
      </c>
      <c r="O530" s="112">
        <v>2</v>
      </c>
      <c r="P530" s="116" t="s">
        <v>2663</v>
      </c>
      <c r="Q530" s="112" t="str">
        <f t="shared" si="130"/>
        <v/>
      </c>
      <c r="R530" s="112" t="str">
        <f t="shared" si="131"/>
        <v/>
      </c>
      <c r="S530" s="112" t="str">
        <f t="shared" si="134"/>
        <v/>
      </c>
      <c r="T530" s="112" t="str">
        <f t="shared" si="135"/>
        <v/>
      </c>
      <c r="U530" s="112" t="str">
        <f t="shared" si="136"/>
        <v/>
      </c>
      <c r="V530" s="112" t="str">
        <f t="shared" si="137"/>
        <v/>
      </c>
      <c r="W530" s="112" t="str">
        <f t="shared" si="138"/>
        <v/>
      </c>
      <c r="X530" s="112">
        <f t="shared" si="132"/>
        <v>1</v>
      </c>
      <c r="Y530" s="112" t="str">
        <f t="shared" si="133"/>
        <v/>
      </c>
      <c r="Z530" s="112">
        <f t="shared" si="139"/>
        <v>1</v>
      </c>
      <c r="AA530" s="112">
        <f t="shared" si="140"/>
        <v>0</v>
      </c>
      <c r="AB530" s="112">
        <f t="shared" si="141"/>
        <v>0</v>
      </c>
      <c r="AC530" s="112">
        <f t="shared" si="142"/>
        <v>4</v>
      </c>
      <c r="AD530" s="112">
        <f t="shared" si="143"/>
        <v>2</v>
      </c>
    </row>
    <row r="531" spans="1:30" x14ac:dyDescent="0.2">
      <c r="A531" s="112" t="str">
        <f>IF(SUM(Q531:R531)=1,1+MAX($A$1:A530),"")</f>
        <v/>
      </c>
      <c r="B531" s="112" t="str">
        <f>IF(SUM(X531:Y531)=1,1+MAX($B$1:B530),"")</f>
        <v/>
      </c>
      <c r="C531" s="112" t="str">
        <f>IF(SUM(Q531:R531,X531:Y531)=2,1+MAX($C$1:C530),"")</f>
        <v/>
      </c>
      <c r="D531" s="113">
        <v>28665</v>
      </c>
      <c r="E531" s="112">
        <v>1978</v>
      </c>
      <c r="F531" s="118" t="s">
        <v>3060</v>
      </c>
      <c r="H531" s="114" t="s">
        <v>1442</v>
      </c>
      <c r="I531" s="112">
        <f t="shared" si="128"/>
        <v>2</v>
      </c>
      <c r="J531" s="112">
        <f t="shared" si="129"/>
        <v>1</v>
      </c>
      <c r="K531" s="115" t="s">
        <v>2674</v>
      </c>
      <c r="L531" s="115" t="s">
        <v>3058</v>
      </c>
      <c r="M531" s="115" t="s">
        <v>3007</v>
      </c>
      <c r="N531" s="115">
        <v>69659</v>
      </c>
      <c r="O531" s="112">
        <v>0</v>
      </c>
      <c r="P531" s="116" t="s">
        <v>2626</v>
      </c>
      <c r="Q531" s="112" t="str">
        <f t="shared" si="130"/>
        <v/>
      </c>
      <c r="R531" s="112" t="str">
        <f t="shared" si="131"/>
        <v/>
      </c>
      <c r="S531" s="112" t="str">
        <f t="shared" si="134"/>
        <v/>
      </c>
      <c r="T531" s="112" t="str">
        <f t="shared" si="135"/>
        <v/>
      </c>
      <c r="U531" s="112" t="str">
        <f t="shared" si="136"/>
        <v/>
      </c>
      <c r="V531" s="112" t="str">
        <f t="shared" si="137"/>
        <v/>
      </c>
      <c r="W531" s="112" t="str">
        <f t="shared" si="138"/>
        <v/>
      </c>
      <c r="X531" s="112" t="str">
        <f t="shared" si="132"/>
        <v/>
      </c>
      <c r="Y531" s="112" t="str">
        <f t="shared" si="133"/>
        <v/>
      </c>
      <c r="Z531" s="112" t="str">
        <f t="shared" si="139"/>
        <v/>
      </c>
      <c r="AA531" s="112" t="str">
        <f t="shared" si="140"/>
        <v/>
      </c>
      <c r="AB531" s="112" t="str">
        <f t="shared" si="141"/>
        <v/>
      </c>
      <c r="AC531" s="112" t="str">
        <f t="shared" si="142"/>
        <v/>
      </c>
      <c r="AD531" s="112" t="str">
        <f t="shared" si="143"/>
        <v/>
      </c>
    </row>
    <row r="532" spans="1:30" x14ac:dyDescent="0.2">
      <c r="A532" s="112" t="str">
        <f>IF(SUM(Q532:R532)=1,1+MAX($A$1:A531),"")</f>
        <v/>
      </c>
      <c r="B532" s="112">
        <f>IF(SUM(X532:Y532)=1,1+MAX($B$1:B531),"")</f>
        <v>50</v>
      </c>
      <c r="C532" s="112" t="str">
        <f>IF(SUM(Q532:R532,X532:Y532)=2,1+MAX($C$1:C531),"")</f>
        <v/>
      </c>
      <c r="D532" s="113">
        <v>28662</v>
      </c>
      <c r="E532" s="112">
        <v>1978</v>
      </c>
      <c r="F532" s="112" t="s">
        <v>2684</v>
      </c>
      <c r="G532" s="112" t="s">
        <v>2685</v>
      </c>
      <c r="H532" s="114" t="s">
        <v>1134</v>
      </c>
      <c r="I532" s="112">
        <f t="shared" si="128"/>
        <v>6</v>
      </c>
      <c r="J532" s="112">
        <f t="shared" si="129"/>
        <v>0</v>
      </c>
      <c r="K532" s="115" t="s">
        <v>2134</v>
      </c>
      <c r="L532" s="115" t="s">
        <v>3061</v>
      </c>
      <c r="M532" s="115" t="s">
        <v>3062</v>
      </c>
      <c r="N532" s="115">
        <v>37315</v>
      </c>
      <c r="O532" s="112">
        <v>2</v>
      </c>
      <c r="P532" s="116" t="s">
        <v>2793</v>
      </c>
      <c r="Q532" s="112" t="str">
        <f t="shared" si="130"/>
        <v/>
      </c>
      <c r="R532" s="112" t="str">
        <f t="shared" si="131"/>
        <v/>
      </c>
      <c r="S532" s="112" t="str">
        <f t="shared" si="134"/>
        <v/>
      </c>
      <c r="T532" s="112" t="str">
        <f t="shared" si="135"/>
        <v/>
      </c>
      <c r="U532" s="112" t="str">
        <f t="shared" si="136"/>
        <v/>
      </c>
      <c r="V532" s="112" t="str">
        <f t="shared" si="137"/>
        <v/>
      </c>
      <c r="W532" s="112" t="str">
        <f t="shared" si="138"/>
        <v/>
      </c>
      <c r="X532" s="112">
        <f t="shared" si="132"/>
        <v>1</v>
      </c>
      <c r="Y532" s="112" t="str">
        <f t="shared" si="133"/>
        <v/>
      </c>
      <c r="Z532" s="112">
        <f t="shared" si="139"/>
        <v>1</v>
      </c>
      <c r="AA532" s="112">
        <f t="shared" si="140"/>
        <v>0</v>
      </c>
      <c r="AB532" s="112">
        <f t="shared" si="141"/>
        <v>0</v>
      </c>
      <c r="AC532" s="112">
        <f t="shared" si="142"/>
        <v>6</v>
      </c>
      <c r="AD532" s="112">
        <f t="shared" si="143"/>
        <v>6</v>
      </c>
    </row>
    <row r="533" spans="1:30" x14ac:dyDescent="0.2">
      <c r="A533" s="112" t="str">
        <f>IF(SUM(Q533:R533)=1,1+MAX($A$1:A532),"")</f>
        <v/>
      </c>
      <c r="B533" s="112" t="str">
        <f>IF(SUM(X533:Y533)=1,1+MAX($B$1:B532),"")</f>
        <v/>
      </c>
      <c r="C533" s="112" t="str">
        <f>IF(SUM(Q533:R533,X533:Y533)=2,1+MAX($C$1:C532),"")</f>
        <v/>
      </c>
      <c r="D533" s="113">
        <v>28662</v>
      </c>
      <c r="E533" s="112">
        <v>1978</v>
      </c>
      <c r="F533" s="112" t="s">
        <v>2684</v>
      </c>
      <c r="G533" s="112" t="s">
        <v>2685</v>
      </c>
      <c r="H533" s="114" t="s">
        <v>1442</v>
      </c>
      <c r="I533" s="112">
        <f t="shared" si="128"/>
        <v>3</v>
      </c>
      <c r="J533" s="112">
        <f t="shared" si="129"/>
        <v>1</v>
      </c>
      <c r="K533" s="115" t="s">
        <v>2544</v>
      </c>
      <c r="L533" s="115" t="s">
        <v>3063</v>
      </c>
      <c r="M533" s="115" t="s">
        <v>3064</v>
      </c>
      <c r="N533" s="115">
        <v>39586</v>
      </c>
      <c r="O533" s="112">
        <v>2</v>
      </c>
      <c r="P533" s="116" t="s">
        <v>2663</v>
      </c>
      <c r="Q533" s="112" t="str">
        <f t="shared" si="130"/>
        <v/>
      </c>
      <c r="R533" s="112" t="str">
        <f t="shared" si="131"/>
        <v/>
      </c>
      <c r="S533" s="112" t="str">
        <f t="shared" si="134"/>
        <v/>
      </c>
      <c r="T533" s="112" t="str">
        <f t="shared" si="135"/>
        <v/>
      </c>
      <c r="U533" s="112" t="str">
        <f t="shared" si="136"/>
        <v/>
      </c>
      <c r="V533" s="112" t="str">
        <f t="shared" si="137"/>
        <v/>
      </c>
      <c r="W533" s="112" t="str">
        <f t="shared" si="138"/>
        <v/>
      </c>
      <c r="X533" s="112" t="str">
        <f t="shared" si="132"/>
        <v/>
      </c>
      <c r="Y533" s="112" t="str">
        <f t="shared" si="133"/>
        <v/>
      </c>
      <c r="Z533" s="112" t="str">
        <f t="shared" si="139"/>
        <v/>
      </c>
      <c r="AA533" s="112" t="str">
        <f t="shared" si="140"/>
        <v/>
      </c>
      <c r="AB533" s="112" t="str">
        <f t="shared" si="141"/>
        <v/>
      </c>
      <c r="AC533" s="112" t="str">
        <f t="shared" si="142"/>
        <v/>
      </c>
      <c r="AD533" s="112" t="str">
        <f t="shared" si="143"/>
        <v/>
      </c>
    </row>
    <row r="534" spans="1:30" x14ac:dyDescent="0.2">
      <c r="A534" s="112" t="str">
        <f>IF(SUM(Q534:R534)=1,1+MAX($A$1:A533),"")</f>
        <v/>
      </c>
      <c r="B534" s="112" t="str">
        <f>IF(SUM(X534:Y534)=1,1+MAX($B$1:B533),"")</f>
        <v/>
      </c>
      <c r="C534" s="112" t="str">
        <f>IF(SUM(Q534:R534,X534:Y534)=2,1+MAX($C$1:C533),"")</f>
        <v/>
      </c>
      <c r="D534" s="113">
        <v>28662</v>
      </c>
      <c r="E534" s="112">
        <v>1978</v>
      </c>
      <c r="F534" s="112" t="s">
        <v>2689</v>
      </c>
      <c r="G534" s="112" t="s">
        <v>2690</v>
      </c>
      <c r="H534" s="114" t="s">
        <v>2674</v>
      </c>
      <c r="I534" s="112">
        <f t="shared" si="128"/>
        <v>1</v>
      </c>
      <c r="J534" s="112">
        <f t="shared" si="129"/>
        <v>2</v>
      </c>
      <c r="K534" s="115" t="s">
        <v>2604</v>
      </c>
      <c r="L534" s="115" t="s">
        <v>3058</v>
      </c>
      <c r="M534" s="115" t="s">
        <v>3065</v>
      </c>
      <c r="N534" s="115">
        <v>67433</v>
      </c>
      <c r="O534" s="112">
        <v>2</v>
      </c>
      <c r="P534" s="116" t="s">
        <v>2638</v>
      </c>
      <c r="Q534" s="112" t="str">
        <f t="shared" si="130"/>
        <v/>
      </c>
      <c r="R534" s="112" t="str">
        <f t="shared" si="131"/>
        <v/>
      </c>
      <c r="S534" s="112" t="str">
        <f t="shared" si="134"/>
        <v/>
      </c>
      <c r="T534" s="112" t="str">
        <f t="shared" si="135"/>
        <v/>
      </c>
      <c r="U534" s="112" t="str">
        <f t="shared" si="136"/>
        <v/>
      </c>
      <c r="V534" s="112" t="str">
        <f t="shared" si="137"/>
        <v/>
      </c>
      <c r="W534" s="112" t="str">
        <f t="shared" si="138"/>
        <v/>
      </c>
      <c r="X534" s="112" t="str">
        <f t="shared" si="132"/>
        <v/>
      </c>
      <c r="Y534" s="112" t="str">
        <f t="shared" si="133"/>
        <v/>
      </c>
      <c r="Z534" s="112" t="str">
        <f t="shared" si="139"/>
        <v/>
      </c>
      <c r="AA534" s="112" t="str">
        <f t="shared" si="140"/>
        <v/>
      </c>
      <c r="AB534" s="112" t="str">
        <f t="shared" si="141"/>
        <v/>
      </c>
      <c r="AC534" s="112" t="str">
        <f t="shared" si="142"/>
        <v/>
      </c>
      <c r="AD534" s="112" t="str">
        <f t="shared" si="143"/>
        <v/>
      </c>
    </row>
    <row r="535" spans="1:30" x14ac:dyDescent="0.2">
      <c r="A535" s="112" t="str">
        <f>IF(SUM(Q535:R535)=1,1+MAX($A$1:A534),"")</f>
        <v/>
      </c>
      <c r="B535" s="112" t="str">
        <f>IF(SUM(X535:Y535)=1,1+MAX($B$1:B534),"")</f>
        <v/>
      </c>
      <c r="C535" s="112" t="str">
        <f>IF(SUM(Q535:R535,X535:Y535)=2,1+MAX($C$1:C534),"")</f>
        <v/>
      </c>
      <c r="D535" s="113">
        <v>28662</v>
      </c>
      <c r="E535" s="112">
        <v>1978</v>
      </c>
      <c r="F535" s="112" t="s">
        <v>2689</v>
      </c>
      <c r="G535" s="112" t="s">
        <v>2690</v>
      </c>
      <c r="H535" s="114" t="s">
        <v>2623</v>
      </c>
      <c r="I535" s="112">
        <f t="shared" si="128"/>
        <v>3</v>
      </c>
      <c r="J535" s="112">
        <f t="shared" si="129"/>
        <v>2</v>
      </c>
      <c r="K535" s="115" t="s">
        <v>2547</v>
      </c>
      <c r="L535" s="115" t="s">
        <v>3066</v>
      </c>
      <c r="M535" s="115" t="s">
        <v>3007</v>
      </c>
      <c r="N535" s="115">
        <v>38318</v>
      </c>
      <c r="O535" s="112">
        <v>2</v>
      </c>
      <c r="P535" s="116" t="s">
        <v>2664</v>
      </c>
      <c r="Q535" s="112" t="str">
        <f t="shared" si="130"/>
        <v/>
      </c>
      <c r="R535" s="112" t="str">
        <f t="shared" si="131"/>
        <v/>
      </c>
      <c r="S535" s="112" t="str">
        <f t="shared" si="134"/>
        <v/>
      </c>
      <c r="T535" s="112" t="str">
        <f t="shared" si="135"/>
        <v/>
      </c>
      <c r="U535" s="112" t="str">
        <f t="shared" si="136"/>
        <v/>
      </c>
      <c r="V535" s="112" t="str">
        <f t="shared" si="137"/>
        <v/>
      </c>
      <c r="W535" s="112" t="str">
        <f t="shared" si="138"/>
        <v/>
      </c>
      <c r="X535" s="112" t="str">
        <f t="shared" si="132"/>
        <v/>
      </c>
      <c r="Y535" s="112" t="str">
        <f t="shared" si="133"/>
        <v/>
      </c>
      <c r="Z535" s="112" t="str">
        <f t="shared" si="139"/>
        <v/>
      </c>
      <c r="AA535" s="112" t="str">
        <f t="shared" si="140"/>
        <v/>
      </c>
      <c r="AB535" s="112" t="str">
        <f t="shared" si="141"/>
        <v/>
      </c>
      <c r="AC535" s="112" t="str">
        <f t="shared" si="142"/>
        <v/>
      </c>
      <c r="AD535" s="112" t="str">
        <f t="shared" si="143"/>
        <v/>
      </c>
    </row>
    <row r="536" spans="1:30" x14ac:dyDescent="0.2">
      <c r="A536" s="112" t="str">
        <f>IF(SUM(Q536:R536)=1,1+MAX($A$1:A535),"")</f>
        <v/>
      </c>
      <c r="B536" s="112">
        <f>IF(SUM(X536:Y536)=1,1+MAX($B$1:B535),"")</f>
        <v>51</v>
      </c>
      <c r="C536" s="112" t="str">
        <f>IF(SUM(Q536:R536,X536:Y536)=2,1+MAX($C$1:C535),"")</f>
        <v/>
      </c>
      <c r="D536" s="113">
        <v>28659</v>
      </c>
      <c r="E536" s="112">
        <v>1978</v>
      </c>
      <c r="F536" s="112" t="s">
        <v>2684</v>
      </c>
      <c r="G536" s="112" t="s">
        <v>2685</v>
      </c>
      <c r="H536" s="114" t="s">
        <v>1134</v>
      </c>
      <c r="I536" s="112">
        <f t="shared" si="128"/>
        <v>0</v>
      </c>
      <c r="J536" s="112">
        <f t="shared" si="129"/>
        <v>0</v>
      </c>
      <c r="K536" s="115" t="s">
        <v>1442</v>
      </c>
      <c r="L536" s="115" t="s">
        <v>3061</v>
      </c>
      <c r="M536" s="115" t="s">
        <v>3015</v>
      </c>
      <c r="N536" s="115">
        <v>37326</v>
      </c>
      <c r="O536" s="112">
        <v>2</v>
      </c>
      <c r="P536" s="116" t="s">
        <v>2613</v>
      </c>
      <c r="Q536" s="112" t="str">
        <f t="shared" si="130"/>
        <v/>
      </c>
      <c r="R536" s="112" t="str">
        <f t="shared" si="131"/>
        <v/>
      </c>
      <c r="S536" s="112" t="str">
        <f t="shared" si="134"/>
        <v/>
      </c>
      <c r="T536" s="112" t="str">
        <f t="shared" si="135"/>
        <v/>
      </c>
      <c r="U536" s="112" t="str">
        <f t="shared" si="136"/>
        <v/>
      </c>
      <c r="V536" s="112" t="str">
        <f t="shared" si="137"/>
        <v/>
      </c>
      <c r="W536" s="112" t="str">
        <f t="shared" si="138"/>
        <v/>
      </c>
      <c r="X536" s="112">
        <f t="shared" si="132"/>
        <v>1</v>
      </c>
      <c r="Y536" s="112" t="str">
        <f t="shared" si="133"/>
        <v/>
      </c>
      <c r="Z536" s="112">
        <f t="shared" si="139"/>
        <v>0</v>
      </c>
      <c r="AA536" s="112">
        <f t="shared" si="140"/>
        <v>1</v>
      </c>
      <c r="AB536" s="112">
        <f t="shared" si="141"/>
        <v>0</v>
      </c>
      <c r="AC536" s="112">
        <f t="shared" si="142"/>
        <v>0</v>
      </c>
      <c r="AD536" s="112">
        <f t="shared" si="143"/>
        <v>0</v>
      </c>
    </row>
    <row r="537" spans="1:30" x14ac:dyDescent="0.2">
      <c r="A537" s="112" t="str">
        <f>IF(SUM(Q537:R537)=1,1+MAX($A$1:A536),"")</f>
        <v/>
      </c>
      <c r="B537" s="112" t="str">
        <f>IF(SUM(X537:Y537)=1,1+MAX($B$1:B536),"")</f>
        <v/>
      </c>
      <c r="C537" s="112" t="str">
        <f>IF(SUM(Q537:R537,X537:Y537)=2,1+MAX($C$1:C536),"")</f>
        <v/>
      </c>
      <c r="D537" s="113">
        <v>28659</v>
      </c>
      <c r="E537" s="112">
        <v>1978</v>
      </c>
      <c r="F537" s="112" t="s">
        <v>2684</v>
      </c>
      <c r="G537" s="112" t="s">
        <v>2685</v>
      </c>
      <c r="H537" s="114" t="s">
        <v>2134</v>
      </c>
      <c r="I537" s="112">
        <f t="shared" si="128"/>
        <v>0</v>
      </c>
      <c r="J537" s="112">
        <f t="shared" si="129"/>
        <v>1</v>
      </c>
      <c r="K537" s="115" t="s">
        <v>2544</v>
      </c>
      <c r="L537" s="115" t="s">
        <v>3063</v>
      </c>
      <c r="M537" s="115" t="s">
        <v>3067</v>
      </c>
      <c r="N537" s="115">
        <v>35288</v>
      </c>
      <c r="O537" s="112">
        <v>2</v>
      </c>
      <c r="P537" s="116" t="s">
        <v>2601</v>
      </c>
      <c r="Q537" s="112" t="str">
        <f t="shared" si="130"/>
        <v/>
      </c>
      <c r="R537" s="112" t="str">
        <f t="shared" si="131"/>
        <v/>
      </c>
      <c r="S537" s="112" t="str">
        <f t="shared" si="134"/>
        <v/>
      </c>
      <c r="T537" s="112" t="str">
        <f t="shared" si="135"/>
        <v/>
      </c>
      <c r="U537" s="112" t="str">
        <f t="shared" si="136"/>
        <v/>
      </c>
      <c r="V537" s="112" t="str">
        <f t="shared" si="137"/>
        <v/>
      </c>
      <c r="W537" s="112" t="str">
        <f t="shared" si="138"/>
        <v/>
      </c>
      <c r="X537" s="112" t="str">
        <f t="shared" si="132"/>
        <v/>
      </c>
      <c r="Y537" s="112" t="str">
        <f t="shared" si="133"/>
        <v/>
      </c>
      <c r="Z537" s="112" t="str">
        <f t="shared" si="139"/>
        <v/>
      </c>
      <c r="AA537" s="112" t="str">
        <f t="shared" si="140"/>
        <v/>
      </c>
      <c r="AB537" s="112" t="str">
        <f t="shared" si="141"/>
        <v/>
      </c>
      <c r="AC537" s="112" t="str">
        <f t="shared" si="142"/>
        <v/>
      </c>
      <c r="AD537" s="112" t="str">
        <f t="shared" si="143"/>
        <v/>
      </c>
    </row>
    <row r="538" spans="1:30" x14ac:dyDescent="0.2">
      <c r="A538" s="112" t="str">
        <f>IF(SUM(Q538:R538)=1,1+MAX($A$1:A537),"")</f>
        <v/>
      </c>
      <c r="B538" s="112" t="str">
        <f>IF(SUM(X538:Y538)=1,1+MAX($B$1:B537),"")</f>
        <v/>
      </c>
      <c r="C538" s="112" t="str">
        <f>IF(SUM(Q538:R538,X538:Y538)=2,1+MAX($C$1:C537),"")</f>
        <v/>
      </c>
      <c r="D538" s="113">
        <v>28659</v>
      </c>
      <c r="E538" s="112">
        <v>1978</v>
      </c>
      <c r="F538" s="112" t="s">
        <v>2689</v>
      </c>
      <c r="G538" s="112" t="s">
        <v>2690</v>
      </c>
      <c r="H538" s="114" t="s">
        <v>2623</v>
      </c>
      <c r="I538" s="112">
        <f t="shared" si="128"/>
        <v>0</v>
      </c>
      <c r="J538" s="112">
        <f t="shared" si="129"/>
        <v>1</v>
      </c>
      <c r="K538" s="115" t="s">
        <v>2674</v>
      </c>
      <c r="L538" s="115" t="s">
        <v>3058</v>
      </c>
      <c r="M538" s="115" t="s">
        <v>3068</v>
      </c>
      <c r="N538" s="115">
        <v>66695</v>
      </c>
      <c r="O538" s="112">
        <v>2</v>
      </c>
      <c r="P538" s="116" t="s">
        <v>2601</v>
      </c>
      <c r="Q538" s="112" t="str">
        <f t="shared" si="130"/>
        <v/>
      </c>
      <c r="R538" s="112" t="str">
        <f t="shared" si="131"/>
        <v/>
      </c>
      <c r="S538" s="112" t="str">
        <f t="shared" si="134"/>
        <v/>
      </c>
      <c r="T538" s="112" t="str">
        <f t="shared" si="135"/>
        <v/>
      </c>
      <c r="U538" s="112" t="str">
        <f t="shared" si="136"/>
        <v/>
      </c>
      <c r="V538" s="112" t="str">
        <f t="shared" si="137"/>
        <v/>
      </c>
      <c r="W538" s="112" t="str">
        <f t="shared" si="138"/>
        <v/>
      </c>
      <c r="X538" s="112" t="str">
        <f t="shared" si="132"/>
        <v/>
      </c>
      <c r="Y538" s="112" t="str">
        <f t="shared" si="133"/>
        <v/>
      </c>
      <c r="Z538" s="112" t="str">
        <f t="shared" si="139"/>
        <v/>
      </c>
      <c r="AA538" s="112" t="str">
        <f t="shared" si="140"/>
        <v/>
      </c>
      <c r="AB538" s="112" t="str">
        <f t="shared" si="141"/>
        <v/>
      </c>
      <c r="AC538" s="112" t="str">
        <f t="shared" si="142"/>
        <v/>
      </c>
      <c r="AD538" s="112" t="str">
        <f t="shared" si="143"/>
        <v/>
      </c>
    </row>
    <row r="539" spans="1:30" x14ac:dyDescent="0.2">
      <c r="A539" s="112" t="str">
        <f>IF(SUM(Q539:R539)=1,1+MAX($A$1:A538),"")</f>
        <v/>
      </c>
      <c r="B539" s="112" t="str">
        <f>IF(SUM(X539:Y539)=1,1+MAX($B$1:B538),"")</f>
        <v/>
      </c>
      <c r="C539" s="112" t="str">
        <f>IF(SUM(Q539:R539,X539:Y539)=2,1+MAX($C$1:C538),"")</f>
        <v/>
      </c>
      <c r="D539" s="113">
        <v>28659</v>
      </c>
      <c r="E539" s="112">
        <v>1978</v>
      </c>
      <c r="F539" s="112" t="s">
        <v>2689</v>
      </c>
      <c r="G539" s="112" t="s">
        <v>2690</v>
      </c>
      <c r="H539" s="114" t="s">
        <v>2547</v>
      </c>
      <c r="I539" s="112">
        <f t="shared" si="128"/>
        <v>2</v>
      </c>
      <c r="J539" s="112">
        <f t="shared" si="129"/>
        <v>2</v>
      </c>
      <c r="K539" s="115" t="s">
        <v>2604</v>
      </c>
      <c r="L539" s="115" t="s">
        <v>3066</v>
      </c>
      <c r="M539" s="115" t="s">
        <v>3069</v>
      </c>
      <c r="N539" s="115">
        <v>40750</v>
      </c>
      <c r="O539" s="112">
        <v>2</v>
      </c>
      <c r="P539" s="116" t="s">
        <v>2697</v>
      </c>
      <c r="Q539" s="112" t="str">
        <f t="shared" si="130"/>
        <v/>
      </c>
      <c r="R539" s="112" t="str">
        <f t="shared" si="131"/>
        <v/>
      </c>
      <c r="S539" s="112" t="str">
        <f t="shared" si="134"/>
        <v/>
      </c>
      <c r="T539" s="112" t="str">
        <f t="shared" si="135"/>
        <v/>
      </c>
      <c r="U539" s="112" t="str">
        <f t="shared" si="136"/>
        <v/>
      </c>
      <c r="V539" s="112" t="str">
        <f t="shared" si="137"/>
        <v/>
      </c>
      <c r="W539" s="112" t="str">
        <f t="shared" si="138"/>
        <v/>
      </c>
      <c r="X539" s="112" t="str">
        <f t="shared" si="132"/>
        <v/>
      </c>
      <c r="Y539" s="112" t="str">
        <f t="shared" si="133"/>
        <v/>
      </c>
      <c r="Z539" s="112" t="str">
        <f t="shared" si="139"/>
        <v/>
      </c>
      <c r="AA539" s="112" t="str">
        <f t="shared" si="140"/>
        <v/>
      </c>
      <c r="AB539" s="112" t="str">
        <f t="shared" si="141"/>
        <v/>
      </c>
      <c r="AC539" s="112" t="str">
        <f t="shared" si="142"/>
        <v/>
      </c>
      <c r="AD539" s="112" t="str">
        <f t="shared" si="143"/>
        <v/>
      </c>
    </row>
    <row r="540" spans="1:30" x14ac:dyDescent="0.2">
      <c r="A540" s="112" t="str">
        <f>IF(SUM(Q540:R540)=1,1+MAX($A$1:A539),"")</f>
        <v/>
      </c>
      <c r="B540" s="112">
        <f>IF(SUM(X540:Y540)=1,1+MAX($B$1:B539),"")</f>
        <v>52</v>
      </c>
      <c r="C540" s="112" t="str">
        <f>IF(SUM(Q540:R540,X540:Y540)=2,1+MAX($C$1:C539),"")</f>
        <v/>
      </c>
      <c r="D540" s="113">
        <v>28655</v>
      </c>
      <c r="E540" s="112">
        <v>1978</v>
      </c>
      <c r="F540" s="112" t="s">
        <v>2684</v>
      </c>
      <c r="G540" s="112" t="s">
        <v>2685</v>
      </c>
      <c r="H540" s="114" t="s">
        <v>1134</v>
      </c>
      <c r="I540" s="112">
        <f t="shared" si="128"/>
        <v>2</v>
      </c>
      <c r="J540" s="112">
        <f t="shared" si="129"/>
        <v>0</v>
      </c>
      <c r="K540" s="115" t="s">
        <v>2544</v>
      </c>
      <c r="L540" s="115" t="s">
        <v>3061</v>
      </c>
      <c r="M540" s="115" t="s">
        <v>3070</v>
      </c>
      <c r="N540" s="115">
        <v>37091</v>
      </c>
      <c r="O540" s="112">
        <v>2</v>
      </c>
      <c r="P540" s="116" t="s">
        <v>2641</v>
      </c>
      <c r="Q540" s="112" t="str">
        <f t="shared" si="130"/>
        <v/>
      </c>
      <c r="R540" s="112" t="str">
        <f t="shared" si="131"/>
        <v/>
      </c>
      <c r="S540" s="112" t="str">
        <f t="shared" si="134"/>
        <v/>
      </c>
      <c r="T540" s="112" t="str">
        <f t="shared" si="135"/>
        <v/>
      </c>
      <c r="U540" s="112" t="str">
        <f t="shared" si="136"/>
        <v/>
      </c>
      <c r="V540" s="112" t="str">
        <f t="shared" si="137"/>
        <v/>
      </c>
      <c r="W540" s="112" t="str">
        <f t="shared" si="138"/>
        <v/>
      </c>
      <c r="X540" s="112">
        <f t="shared" si="132"/>
        <v>1</v>
      </c>
      <c r="Y540" s="112" t="str">
        <f t="shared" si="133"/>
        <v/>
      </c>
      <c r="Z540" s="112">
        <f t="shared" si="139"/>
        <v>1</v>
      </c>
      <c r="AA540" s="112">
        <f t="shared" si="140"/>
        <v>0</v>
      </c>
      <c r="AB540" s="112">
        <f t="shared" si="141"/>
        <v>0</v>
      </c>
      <c r="AC540" s="112">
        <f t="shared" si="142"/>
        <v>2</v>
      </c>
      <c r="AD540" s="112">
        <f t="shared" si="143"/>
        <v>2</v>
      </c>
    </row>
    <row r="541" spans="1:30" x14ac:dyDescent="0.2">
      <c r="A541" s="112" t="str">
        <f>IF(SUM(Q541:R541)=1,1+MAX($A$1:A540),"")</f>
        <v/>
      </c>
      <c r="B541" s="112" t="str">
        <f>IF(SUM(X541:Y541)=1,1+MAX($B$1:B540),"")</f>
        <v/>
      </c>
      <c r="C541" s="112" t="str">
        <f>IF(SUM(Q541:R541,X541:Y541)=2,1+MAX($C$1:C540),"")</f>
        <v/>
      </c>
      <c r="D541" s="113">
        <v>28655</v>
      </c>
      <c r="E541" s="112">
        <v>1978</v>
      </c>
      <c r="F541" s="112" t="s">
        <v>2684</v>
      </c>
      <c r="G541" s="112" t="s">
        <v>2685</v>
      </c>
      <c r="H541" s="114" t="s">
        <v>1442</v>
      </c>
      <c r="I541" s="112">
        <f t="shared" si="128"/>
        <v>3</v>
      </c>
      <c r="J541" s="112">
        <f t="shared" si="129"/>
        <v>0</v>
      </c>
      <c r="K541" s="115" t="s">
        <v>2134</v>
      </c>
      <c r="L541" s="115" t="s">
        <v>3063</v>
      </c>
      <c r="M541" s="115" t="s">
        <v>3014</v>
      </c>
      <c r="N541" s="115">
        <v>31278</v>
      </c>
      <c r="O541" s="112">
        <v>2</v>
      </c>
      <c r="P541" s="116" t="s">
        <v>2713</v>
      </c>
      <c r="Q541" s="112" t="str">
        <f t="shared" si="130"/>
        <v/>
      </c>
      <c r="R541" s="112" t="str">
        <f t="shared" si="131"/>
        <v/>
      </c>
      <c r="S541" s="112" t="str">
        <f t="shared" si="134"/>
        <v/>
      </c>
      <c r="T541" s="112" t="str">
        <f t="shared" si="135"/>
        <v/>
      </c>
      <c r="U541" s="112" t="str">
        <f t="shared" si="136"/>
        <v/>
      </c>
      <c r="V541" s="112" t="str">
        <f t="shared" si="137"/>
        <v/>
      </c>
      <c r="W541" s="112" t="str">
        <f t="shared" si="138"/>
        <v/>
      </c>
      <c r="X541" s="112" t="str">
        <f t="shared" si="132"/>
        <v/>
      </c>
      <c r="Y541" s="112" t="str">
        <f t="shared" si="133"/>
        <v/>
      </c>
      <c r="Z541" s="112" t="str">
        <f t="shared" si="139"/>
        <v/>
      </c>
      <c r="AA541" s="112" t="str">
        <f t="shared" si="140"/>
        <v/>
      </c>
      <c r="AB541" s="112" t="str">
        <f t="shared" si="141"/>
        <v/>
      </c>
      <c r="AC541" s="112" t="str">
        <f t="shared" si="142"/>
        <v/>
      </c>
      <c r="AD541" s="112" t="str">
        <f t="shared" si="143"/>
        <v/>
      </c>
    </row>
    <row r="542" spans="1:30" x14ac:dyDescent="0.2">
      <c r="A542" s="112" t="str">
        <f>IF(SUM(Q542:R542)=1,1+MAX($A$1:A541),"")</f>
        <v/>
      </c>
      <c r="B542" s="112" t="str">
        <f>IF(SUM(X542:Y542)=1,1+MAX($B$1:B541),"")</f>
        <v/>
      </c>
      <c r="C542" s="112" t="str">
        <f>IF(SUM(Q542:R542,X542:Y542)=2,1+MAX($C$1:C541),"")</f>
        <v/>
      </c>
      <c r="D542" s="113">
        <v>28655</v>
      </c>
      <c r="E542" s="112">
        <v>1978</v>
      </c>
      <c r="F542" s="112" t="s">
        <v>2689</v>
      </c>
      <c r="G542" s="112" t="s">
        <v>2690</v>
      </c>
      <c r="H542" s="114" t="s">
        <v>2547</v>
      </c>
      <c r="I542" s="112">
        <f t="shared" si="128"/>
        <v>0</v>
      </c>
      <c r="J542" s="112">
        <f t="shared" si="129"/>
        <v>0</v>
      </c>
      <c r="K542" s="115" t="s">
        <v>2674</v>
      </c>
      <c r="L542" s="115" t="s">
        <v>3058</v>
      </c>
      <c r="M542" s="115" t="s">
        <v>3071</v>
      </c>
      <c r="N542" s="115">
        <v>67547</v>
      </c>
      <c r="O542" s="112">
        <v>2</v>
      </c>
      <c r="P542" s="116" t="s">
        <v>2613</v>
      </c>
      <c r="Q542" s="112" t="str">
        <f t="shared" si="130"/>
        <v/>
      </c>
      <c r="R542" s="112" t="str">
        <f t="shared" si="131"/>
        <v/>
      </c>
      <c r="S542" s="112" t="str">
        <f t="shared" si="134"/>
        <v/>
      </c>
      <c r="T542" s="112" t="str">
        <f t="shared" si="135"/>
        <v/>
      </c>
      <c r="U542" s="112" t="str">
        <f t="shared" si="136"/>
        <v/>
      </c>
      <c r="V542" s="112" t="str">
        <f t="shared" si="137"/>
        <v/>
      </c>
      <c r="W542" s="112" t="str">
        <f t="shared" si="138"/>
        <v/>
      </c>
      <c r="X542" s="112" t="str">
        <f t="shared" si="132"/>
        <v/>
      </c>
      <c r="Y542" s="112" t="str">
        <f t="shared" si="133"/>
        <v/>
      </c>
      <c r="Z542" s="112" t="str">
        <f t="shared" si="139"/>
        <v/>
      </c>
      <c r="AA542" s="112" t="str">
        <f t="shared" si="140"/>
        <v/>
      </c>
      <c r="AB542" s="112" t="str">
        <f t="shared" si="141"/>
        <v/>
      </c>
      <c r="AC542" s="112" t="str">
        <f t="shared" si="142"/>
        <v/>
      </c>
      <c r="AD542" s="112" t="str">
        <f t="shared" si="143"/>
        <v/>
      </c>
    </row>
    <row r="543" spans="1:30" x14ac:dyDescent="0.2">
      <c r="A543" s="112" t="str">
        <f>IF(SUM(Q543:R543)=1,1+MAX($A$1:A542),"")</f>
        <v/>
      </c>
      <c r="B543" s="112" t="str">
        <f>IF(SUM(X543:Y543)=1,1+MAX($B$1:B542),"")</f>
        <v/>
      </c>
      <c r="C543" s="112" t="str">
        <f>IF(SUM(Q543:R543,X543:Y543)=2,1+MAX($C$1:C542),"")</f>
        <v/>
      </c>
      <c r="D543" s="113">
        <v>28655</v>
      </c>
      <c r="E543" s="112">
        <v>1978</v>
      </c>
      <c r="F543" s="112" t="s">
        <v>2689</v>
      </c>
      <c r="G543" s="112" t="s">
        <v>2690</v>
      </c>
      <c r="H543" s="114" t="s">
        <v>2623</v>
      </c>
      <c r="I543" s="112">
        <f t="shared" si="128"/>
        <v>1</v>
      </c>
      <c r="J543" s="112">
        <f t="shared" si="129"/>
        <v>5</v>
      </c>
      <c r="K543" s="115" t="s">
        <v>2604</v>
      </c>
      <c r="L543" s="115" t="s">
        <v>3066</v>
      </c>
      <c r="M543" s="115" t="s">
        <v>3072</v>
      </c>
      <c r="N543" s="115">
        <v>25050</v>
      </c>
      <c r="O543" s="112">
        <v>2</v>
      </c>
      <c r="P543" s="116" t="s">
        <v>2968</v>
      </c>
      <c r="Q543" s="112" t="str">
        <f t="shared" si="130"/>
        <v/>
      </c>
      <c r="R543" s="112" t="str">
        <f t="shared" si="131"/>
        <v/>
      </c>
      <c r="S543" s="112" t="str">
        <f t="shared" si="134"/>
        <v/>
      </c>
      <c r="T543" s="112" t="str">
        <f t="shared" si="135"/>
        <v/>
      </c>
      <c r="U543" s="112" t="str">
        <f t="shared" si="136"/>
        <v/>
      </c>
      <c r="V543" s="112" t="str">
        <f t="shared" si="137"/>
        <v/>
      </c>
      <c r="W543" s="112" t="str">
        <f t="shared" si="138"/>
        <v/>
      </c>
      <c r="X543" s="112" t="str">
        <f t="shared" si="132"/>
        <v/>
      </c>
      <c r="Y543" s="112" t="str">
        <f t="shared" si="133"/>
        <v/>
      </c>
      <c r="Z543" s="112" t="str">
        <f t="shared" si="139"/>
        <v/>
      </c>
      <c r="AA543" s="112" t="str">
        <f t="shared" si="140"/>
        <v/>
      </c>
      <c r="AB543" s="112" t="str">
        <f t="shared" si="141"/>
        <v/>
      </c>
      <c r="AC543" s="112" t="str">
        <f t="shared" si="142"/>
        <v/>
      </c>
      <c r="AD543" s="112" t="str">
        <f t="shared" si="143"/>
        <v/>
      </c>
    </row>
    <row r="544" spans="1:30" x14ac:dyDescent="0.2">
      <c r="A544" s="112" t="str">
        <f>IF(SUM(Q544:R544)=1,1+MAX($A$1:A543),"")</f>
        <v/>
      </c>
      <c r="B544" s="112" t="str">
        <f>IF(SUM(X544:Y544)=1,1+MAX($B$1:B543),"")</f>
        <v/>
      </c>
      <c r="C544" s="112" t="str">
        <f>IF(SUM(Q544:R544,X544:Y544)=2,1+MAX($C$1:C543),"")</f>
        <v/>
      </c>
      <c r="D544" s="113">
        <v>28652</v>
      </c>
      <c r="E544" s="112">
        <v>1978</v>
      </c>
      <c r="F544" s="112" t="s">
        <v>3020</v>
      </c>
      <c r="G544" s="112">
        <v>4</v>
      </c>
      <c r="H544" s="114" t="s">
        <v>2604</v>
      </c>
      <c r="I544" s="112">
        <f t="shared" si="128"/>
        <v>2</v>
      </c>
      <c r="J544" s="112">
        <f t="shared" si="129"/>
        <v>3</v>
      </c>
      <c r="K544" s="115" t="s">
        <v>2717</v>
      </c>
      <c r="L544" s="115" t="s">
        <v>3063</v>
      </c>
      <c r="M544" s="115" t="s">
        <v>3073</v>
      </c>
      <c r="N544" s="115">
        <v>35130</v>
      </c>
      <c r="O544" s="112">
        <v>2</v>
      </c>
      <c r="P544" s="116" t="s">
        <v>2706</v>
      </c>
      <c r="Q544" s="112" t="str">
        <f t="shared" si="130"/>
        <v/>
      </c>
      <c r="R544" s="112" t="str">
        <f t="shared" si="131"/>
        <v/>
      </c>
      <c r="S544" s="112" t="str">
        <f t="shared" si="134"/>
        <v/>
      </c>
      <c r="T544" s="112" t="str">
        <f t="shared" si="135"/>
        <v/>
      </c>
      <c r="U544" s="112" t="str">
        <f t="shared" si="136"/>
        <v/>
      </c>
      <c r="V544" s="112" t="str">
        <f t="shared" si="137"/>
        <v/>
      </c>
      <c r="W544" s="112" t="str">
        <f t="shared" si="138"/>
        <v/>
      </c>
      <c r="X544" s="112" t="str">
        <f t="shared" si="132"/>
        <v/>
      </c>
      <c r="Y544" s="112" t="str">
        <f t="shared" si="133"/>
        <v/>
      </c>
      <c r="Z544" s="112" t="str">
        <f t="shared" si="139"/>
        <v/>
      </c>
      <c r="AA544" s="112" t="str">
        <f t="shared" si="140"/>
        <v/>
      </c>
      <c r="AB544" s="112" t="str">
        <f t="shared" si="141"/>
        <v/>
      </c>
      <c r="AC544" s="112" t="str">
        <f t="shared" si="142"/>
        <v/>
      </c>
      <c r="AD544" s="112" t="str">
        <f t="shared" si="143"/>
        <v/>
      </c>
    </row>
    <row r="545" spans="1:30" x14ac:dyDescent="0.2">
      <c r="A545" s="112" t="str">
        <f>IF(SUM(Q545:R545)=1,1+MAX($A$1:A544),"")</f>
        <v/>
      </c>
      <c r="B545" s="112" t="str">
        <f>IF(SUM(X545:Y545)=1,1+MAX($B$1:B544),"")</f>
        <v/>
      </c>
      <c r="C545" s="112" t="str">
        <f>IF(SUM(Q545:R545,X545:Y545)=2,1+MAX($C$1:C544),"")</f>
        <v/>
      </c>
      <c r="D545" s="113">
        <v>28652</v>
      </c>
      <c r="E545" s="112">
        <v>1978</v>
      </c>
      <c r="F545" s="112" t="s">
        <v>3020</v>
      </c>
      <c r="G545" s="112">
        <v>4</v>
      </c>
      <c r="H545" s="114" t="s">
        <v>2553</v>
      </c>
      <c r="I545" s="112">
        <f t="shared" si="128"/>
        <v>1</v>
      </c>
      <c r="J545" s="112">
        <f t="shared" si="129"/>
        <v>4</v>
      </c>
      <c r="K545" s="115" t="s">
        <v>2134</v>
      </c>
      <c r="L545" s="115" t="s">
        <v>3066</v>
      </c>
      <c r="M545" s="115" t="s">
        <v>3009</v>
      </c>
      <c r="N545" s="115">
        <v>21262</v>
      </c>
      <c r="O545" s="112">
        <v>2</v>
      </c>
      <c r="P545" s="116" t="s">
        <v>2743</v>
      </c>
      <c r="Q545" s="112" t="str">
        <f t="shared" si="130"/>
        <v/>
      </c>
      <c r="R545" s="112" t="str">
        <f t="shared" si="131"/>
        <v/>
      </c>
      <c r="S545" s="112" t="str">
        <f t="shared" si="134"/>
        <v/>
      </c>
      <c r="T545" s="112" t="str">
        <f t="shared" si="135"/>
        <v/>
      </c>
      <c r="U545" s="112" t="str">
        <f t="shared" si="136"/>
        <v/>
      </c>
      <c r="V545" s="112" t="str">
        <f t="shared" si="137"/>
        <v/>
      </c>
      <c r="W545" s="112" t="str">
        <f t="shared" si="138"/>
        <v/>
      </c>
      <c r="X545" s="112" t="str">
        <f t="shared" si="132"/>
        <v/>
      </c>
      <c r="Y545" s="112" t="str">
        <f t="shared" si="133"/>
        <v/>
      </c>
      <c r="Z545" s="112" t="str">
        <f t="shared" si="139"/>
        <v/>
      </c>
      <c r="AA545" s="112" t="str">
        <f t="shared" si="140"/>
        <v/>
      </c>
      <c r="AB545" s="112" t="str">
        <f t="shared" si="141"/>
        <v/>
      </c>
      <c r="AC545" s="112" t="str">
        <f t="shared" si="142"/>
        <v/>
      </c>
      <c r="AD545" s="112" t="str">
        <f t="shared" si="143"/>
        <v/>
      </c>
    </row>
    <row r="546" spans="1:30" x14ac:dyDescent="0.2">
      <c r="A546" s="112" t="str">
        <f>IF(SUM(Q546:R546)=1,1+MAX($A$1:A545),"")</f>
        <v/>
      </c>
      <c r="B546" s="112" t="str">
        <f>IF(SUM(X546:Y546)=1,1+MAX($B$1:B545),"")</f>
        <v/>
      </c>
      <c r="C546" s="112" t="str">
        <f>IF(SUM(Q546:R546,X546:Y546)=2,1+MAX($C$1:C545),"")</f>
        <v/>
      </c>
      <c r="D546" s="113">
        <v>28652</v>
      </c>
      <c r="E546" s="112">
        <v>1978</v>
      </c>
      <c r="F546" s="112" t="s">
        <v>3033</v>
      </c>
      <c r="G546" s="112">
        <v>3</v>
      </c>
      <c r="H546" s="114" t="s">
        <v>2623</v>
      </c>
      <c r="I546" s="112">
        <f t="shared" si="128"/>
        <v>0</v>
      </c>
      <c r="J546" s="112">
        <f t="shared" si="129"/>
        <v>1</v>
      </c>
      <c r="K546" s="115" t="s">
        <v>1442</v>
      </c>
      <c r="L546" s="115" t="s">
        <v>3074</v>
      </c>
      <c r="M546" s="115" t="s">
        <v>3062</v>
      </c>
      <c r="N546" s="115">
        <v>35221</v>
      </c>
      <c r="O546" s="112">
        <v>2</v>
      </c>
      <c r="P546" s="116" t="s">
        <v>2601</v>
      </c>
      <c r="Q546" s="112" t="str">
        <f t="shared" si="130"/>
        <v/>
      </c>
      <c r="R546" s="112" t="str">
        <f t="shared" si="131"/>
        <v/>
      </c>
      <c r="S546" s="112" t="str">
        <f t="shared" si="134"/>
        <v/>
      </c>
      <c r="T546" s="112" t="str">
        <f t="shared" si="135"/>
        <v/>
      </c>
      <c r="U546" s="112" t="str">
        <f t="shared" si="136"/>
        <v/>
      </c>
      <c r="V546" s="112" t="str">
        <f t="shared" si="137"/>
        <v/>
      </c>
      <c r="W546" s="112" t="str">
        <f t="shared" si="138"/>
        <v/>
      </c>
      <c r="X546" s="112" t="str">
        <f t="shared" si="132"/>
        <v/>
      </c>
      <c r="Y546" s="112" t="str">
        <f t="shared" si="133"/>
        <v/>
      </c>
      <c r="Z546" s="112" t="str">
        <f t="shared" si="139"/>
        <v/>
      </c>
      <c r="AA546" s="112" t="str">
        <f t="shared" si="140"/>
        <v/>
      </c>
      <c r="AB546" s="112" t="str">
        <f t="shared" si="141"/>
        <v/>
      </c>
      <c r="AC546" s="112" t="str">
        <f t="shared" si="142"/>
        <v/>
      </c>
      <c r="AD546" s="112" t="str">
        <f t="shared" si="143"/>
        <v/>
      </c>
    </row>
    <row r="547" spans="1:30" x14ac:dyDescent="0.2">
      <c r="A547" s="112" t="str">
        <f>IF(SUM(Q547:R547)=1,1+MAX($A$1:A546),"")</f>
        <v/>
      </c>
      <c r="B547" s="112" t="str">
        <f>IF(SUM(X547:Y547)=1,1+MAX($B$1:B546),"")</f>
        <v/>
      </c>
      <c r="C547" s="112" t="str">
        <f>IF(SUM(Q547:R547,X547:Y547)=2,1+MAX($C$1:C546),"")</f>
        <v/>
      </c>
      <c r="D547" s="113">
        <v>28652</v>
      </c>
      <c r="E547" s="112">
        <v>1978</v>
      </c>
      <c r="F547" s="112" t="s">
        <v>3033</v>
      </c>
      <c r="G547" s="112">
        <v>3</v>
      </c>
      <c r="H547" s="114" t="s">
        <v>2557</v>
      </c>
      <c r="I547" s="112">
        <f t="shared" si="128"/>
        <v>1</v>
      </c>
      <c r="J547" s="112">
        <f t="shared" si="129"/>
        <v>0</v>
      </c>
      <c r="K547" s="115" t="s">
        <v>2549</v>
      </c>
      <c r="L547" s="115" t="s">
        <v>3075</v>
      </c>
      <c r="M547" s="115" t="s">
        <v>3076</v>
      </c>
      <c r="N547" s="115">
        <v>46765</v>
      </c>
      <c r="O547" s="112">
        <v>2</v>
      </c>
      <c r="P547" s="116" t="s">
        <v>2622</v>
      </c>
      <c r="Q547" s="112" t="str">
        <f t="shared" si="130"/>
        <v/>
      </c>
      <c r="R547" s="112" t="str">
        <f t="shared" si="131"/>
        <v/>
      </c>
      <c r="S547" s="112" t="str">
        <f t="shared" si="134"/>
        <v/>
      </c>
      <c r="T547" s="112" t="str">
        <f t="shared" si="135"/>
        <v/>
      </c>
      <c r="U547" s="112" t="str">
        <f t="shared" si="136"/>
        <v/>
      </c>
      <c r="V547" s="112" t="str">
        <f t="shared" si="137"/>
        <v/>
      </c>
      <c r="W547" s="112" t="str">
        <f t="shared" si="138"/>
        <v/>
      </c>
      <c r="X547" s="112" t="str">
        <f t="shared" si="132"/>
        <v/>
      </c>
      <c r="Y547" s="112" t="str">
        <f t="shared" si="133"/>
        <v/>
      </c>
      <c r="Z547" s="112" t="str">
        <f t="shared" si="139"/>
        <v/>
      </c>
      <c r="AA547" s="112" t="str">
        <f t="shared" si="140"/>
        <v/>
      </c>
      <c r="AB547" s="112" t="str">
        <f t="shared" si="141"/>
        <v/>
      </c>
      <c r="AC547" s="112" t="str">
        <f t="shared" si="142"/>
        <v/>
      </c>
      <c r="AD547" s="112" t="str">
        <f t="shared" si="143"/>
        <v/>
      </c>
    </row>
    <row r="548" spans="1:30" x14ac:dyDescent="0.2">
      <c r="A548" s="112" t="str">
        <f>IF(SUM(Q548:R548)=1,1+MAX($A$1:A547),"")</f>
        <v/>
      </c>
      <c r="B548" s="112" t="str">
        <f>IF(SUM(X548:Y548)=1,1+MAX($B$1:B547),"")</f>
        <v/>
      </c>
      <c r="C548" s="112" t="str">
        <f>IF(SUM(Q548:R548,X548:Y548)=2,1+MAX($C$1:C547),"")</f>
        <v/>
      </c>
      <c r="D548" s="113">
        <v>28651</v>
      </c>
      <c r="E548" s="112">
        <v>1978</v>
      </c>
      <c r="F548" s="112" t="s">
        <v>3024</v>
      </c>
      <c r="G548" s="112">
        <v>2</v>
      </c>
      <c r="H548" s="114" t="s">
        <v>1061</v>
      </c>
      <c r="I548" s="112">
        <f t="shared" si="128"/>
        <v>1</v>
      </c>
      <c r="J548" s="112">
        <f t="shared" si="129"/>
        <v>3</v>
      </c>
      <c r="K548" s="115" t="s">
        <v>2544</v>
      </c>
      <c r="L548" s="115" t="s">
        <v>3061</v>
      </c>
      <c r="M548" s="115" t="s">
        <v>3077</v>
      </c>
      <c r="N548" s="115">
        <v>22651</v>
      </c>
      <c r="O548" s="112">
        <v>2</v>
      </c>
      <c r="P548" s="116" t="s">
        <v>2691</v>
      </c>
      <c r="Q548" s="112" t="str">
        <f t="shared" si="130"/>
        <v/>
      </c>
      <c r="R548" s="112" t="str">
        <f t="shared" si="131"/>
        <v/>
      </c>
      <c r="S548" s="112" t="str">
        <f t="shared" si="134"/>
        <v/>
      </c>
      <c r="T548" s="112" t="str">
        <f t="shared" si="135"/>
        <v/>
      </c>
      <c r="U548" s="112" t="str">
        <f t="shared" si="136"/>
        <v/>
      </c>
      <c r="V548" s="112" t="str">
        <f t="shared" si="137"/>
        <v/>
      </c>
      <c r="W548" s="112" t="str">
        <f t="shared" si="138"/>
        <v/>
      </c>
      <c r="X548" s="112" t="str">
        <f t="shared" si="132"/>
        <v/>
      </c>
      <c r="Y548" s="112" t="str">
        <f t="shared" si="133"/>
        <v/>
      </c>
      <c r="Z548" s="112" t="str">
        <f t="shared" si="139"/>
        <v/>
      </c>
      <c r="AA548" s="112" t="str">
        <f t="shared" si="140"/>
        <v/>
      </c>
      <c r="AB548" s="112" t="str">
        <f t="shared" si="141"/>
        <v/>
      </c>
      <c r="AC548" s="112" t="str">
        <f t="shared" si="142"/>
        <v/>
      </c>
      <c r="AD548" s="112" t="str">
        <f t="shared" si="143"/>
        <v/>
      </c>
    </row>
    <row r="549" spans="1:30" x14ac:dyDescent="0.2">
      <c r="A549" s="112" t="str">
        <f>IF(SUM(Q549:R549)=1,1+MAX($A$1:A548),"")</f>
        <v/>
      </c>
      <c r="B549" s="112" t="str">
        <f>IF(SUM(X549:Y549)=1,1+MAX($B$1:B548),"")</f>
        <v/>
      </c>
      <c r="C549" s="112" t="str">
        <f>IF(SUM(Q549:R549,X549:Y549)=2,1+MAX($C$1:C548),"")</f>
        <v/>
      </c>
      <c r="D549" s="113">
        <v>28651</v>
      </c>
      <c r="E549" s="112">
        <v>1978</v>
      </c>
      <c r="F549" s="112" t="s">
        <v>3024</v>
      </c>
      <c r="G549" s="112">
        <v>2</v>
      </c>
      <c r="H549" s="114" t="s">
        <v>2547</v>
      </c>
      <c r="I549" s="112">
        <f t="shared" si="128"/>
        <v>0</v>
      </c>
      <c r="J549" s="112">
        <f t="shared" si="129"/>
        <v>0</v>
      </c>
      <c r="K549" s="115" t="s">
        <v>2388</v>
      </c>
      <c r="L549" s="115" t="s">
        <v>3066</v>
      </c>
      <c r="M549" s="115" t="s">
        <v>3078</v>
      </c>
      <c r="N549" s="115">
        <v>30667</v>
      </c>
      <c r="O549" s="112">
        <v>2</v>
      </c>
      <c r="P549" s="116" t="s">
        <v>2613</v>
      </c>
      <c r="Q549" s="112" t="str">
        <f t="shared" si="130"/>
        <v/>
      </c>
      <c r="R549" s="112" t="str">
        <f t="shared" si="131"/>
        <v/>
      </c>
      <c r="S549" s="112" t="str">
        <f t="shared" si="134"/>
        <v/>
      </c>
      <c r="T549" s="112" t="str">
        <f t="shared" si="135"/>
        <v/>
      </c>
      <c r="U549" s="112" t="str">
        <f t="shared" si="136"/>
        <v/>
      </c>
      <c r="V549" s="112" t="str">
        <f t="shared" si="137"/>
        <v/>
      </c>
      <c r="W549" s="112" t="str">
        <f t="shared" si="138"/>
        <v/>
      </c>
      <c r="X549" s="112" t="str">
        <f t="shared" si="132"/>
        <v/>
      </c>
      <c r="Y549" s="112" t="str">
        <f t="shared" si="133"/>
        <v/>
      </c>
      <c r="Z549" s="112" t="str">
        <f t="shared" si="139"/>
        <v/>
      </c>
      <c r="AA549" s="112" t="str">
        <f t="shared" si="140"/>
        <v/>
      </c>
      <c r="AB549" s="112" t="str">
        <f t="shared" si="141"/>
        <v/>
      </c>
      <c r="AC549" s="112" t="str">
        <f t="shared" si="142"/>
        <v/>
      </c>
      <c r="AD549" s="112" t="str">
        <f t="shared" si="143"/>
        <v/>
      </c>
    </row>
    <row r="550" spans="1:30" x14ac:dyDescent="0.2">
      <c r="A550" s="112" t="str">
        <f>IF(SUM(Q550:R550)=1,1+MAX($A$1:A549),"")</f>
        <v/>
      </c>
      <c r="B550" s="112">
        <f>IF(SUM(X550:Y550)=1,1+MAX($B$1:B549),"")</f>
        <v>53</v>
      </c>
      <c r="C550" s="112" t="str">
        <f>IF(SUM(Q550:R550,X550:Y550)=2,1+MAX($C$1:C549),"")</f>
        <v/>
      </c>
      <c r="D550" s="113">
        <v>28651</v>
      </c>
      <c r="E550" s="112">
        <v>1978</v>
      </c>
      <c r="F550" s="112" t="s">
        <v>3035</v>
      </c>
      <c r="G550" s="112">
        <v>1</v>
      </c>
      <c r="H550" s="114" t="s">
        <v>1134</v>
      </c>
      <c r="I550" s="112">
        <f t="shared" si="128"/>
        <v>0</v>
      </c>
      <c r="J550" s="112">
        <f t="shared" si="129"/>
        <v>1</v>
      </c>
      <c r="K550" s="115" t="s">
        <v>2674</v>
      </c>
      <c r="L550" s="115" t="s">
        <v>3058</v>
      </c>
      <c r="M550" s="115" t="s">
        <v>3007</v>
      </c>
      <c r="N550" s="115">
        <v>71712</v>
      </c>
      <c r="O550" s="112">
        <v>2</v>
      </c>
      <c r="P550" s="116" t="s">
        <v>2601</v>
      </c>
      <c r="Q550" s="112" t="str">
        <f t="shared" si="130"/>
        <v/>
      </c>
      <c r="R550" s="112" t="str">
        <f t="shared" si="131"/>
        <v/>
      </c>
      <c r="S550" s="112" t="str">
        <f t="shared" si="134"/>
        <v/>
      </c>
      <c r="T550" s="112" t="str">
        <f t="shared" si="135"/>
        <v/>
      </c>
      <c r="U550" s="112" t="str">
        <f t="shared" si="136"/>
        <v/>
      </c>
      <c r="V550" s="112" t="str">
        <f t="shared" si="137"/>
        <v/>
      </c>
      <c r="W550" s="112" t="str">
        <f t="shared" si="138"/>
        <v/>
      </c>
      <c r="X550" s="112">
        <f t="shared" si="132"/>
        <v>1</v>
      </c>
      <c r="Y550" s="112" t="str">
        <f t="shared" si="133"/>
        <v/>
      </c>
      <c r="Z550" s="112">
        <f t="shared" si="139"/>
        <v>0</v>
      </c>
      <c r="AA550" s="112">
        <f t="shared" si="140"/>
        <v>0</v>
      </c>
      <c r="AB550" s="112">
        <f t="shared" si="141"/>
        <v>1</v>
      </c>
      <c r="AC550" s="112">
        <f t="shared" si="142"/>
        <v>1</v>
      </c>
      <c r="AD550" s="112">
        <f t="shared" si="143"/>
        <v>-1</v>
      </c>
    </row>
    <row r="551" spans="1:30" x14ac:dyDescent="0.2">
      <c r="A551" s="112" t="str">
        <f>IF(SUM(Q551:R551)=1,1+MAX($A$1:A550),"")</f>
        <v/>
      </c>
      <c r="B551" s="112" t="str">
        <f>IF(SUM(X551:Y551)=1,1+MAX($B$1:B550),"")</f>
        <v/>
      </c>
      <c r="C551" s="112" t="str">
        <f>IF(SUM(Q551:R551,X551:Y551)=2,1+MAX($C$1:C550),"")</f>
        <v/>
      </c>
      <c r="D551" s="113">
        <v>28651</v>
      </c>
      <c r="E551" s="112">
        <v>1978</v>
      </c>
      <c r="F551" s="112" t="s">
        <v>3035</v>
      </c>
      <c r="G551" s="112">
        <v>1</v>
      </c>
      <c r="H551" s="114" t="s">
        <v>2541</v>
      </c>
      <c r="I551" s="112">
        <f t="shared" si="128"/>
        <v>3</v>
      </c>
      <c r="J551" s="112">
        <f t="shared" si="129"/>
        <v>1</v>
      </c>
      <c r="K551" s="115" t="s">
        <v>2725</v>
      </c>
      <c r="L551" s="115" t="s">
        <v>3074</v>
      </c>
      <c r="M551" s="115" t="s">
        <v>3000</v>
      </c>
      <c r="N551" s="115">
        <v>23127</v>
      </c>
      <c r="O551" s="112">
        <v>2</v>
      </c>
      <c r="P551" s="116" t="s">
        <v>2663</v>
      </c>
      <c r="Q551" s="112" t="str">
        <f t="shared" si="130"/>
        <v/>
      </c>
      <c r="R551" s="112" t="str">
        <f t="shared" si="131"/>
        <v/>
      </c>
      <c r="S551" s="112" t="str">
        <f t="shared" si="134"/>
        <v/>
      </c>
      <c r="T551" s="112" t="str">
        <f t="shared" si="135"/>
        <v/>
      </c>
      <c r="U551" s="112" t="str">
        <f t="shared" si="136"/>
        <v/>
      </c>
      <c r="V551" s="112" t="str">
        <f t="shared" si="137"/>
        <v/>
      </c>
      <c r="W551" s="112" t="str">
        <f t="shared" si="138"/>
        <v/>
      </c>
      <c r="X551" s="112" t="str">
        <f t="shared" si="132"/>
        <v/>
      </c>
      <c r="Y551" s="112" t="str">
        <f t="shared" si="133"/>
        <v/>
      </c>
      <c r="Z551" s="112" t="str">
        <f t="shared" si="139"/>
        <v/>
      </c>
      <c r="AA551" s="112" t="str">
        <f t="shared" si="140"/>
        <v/>
      </c>
      <c r="AB551" s="112" t="str">
        <f t="shared" si="141"/>
        <v/>
      </c>
      <c r="AC551" s="112" t="str">
        <f t="shared" si="142"/>
        <v/>
      </c>
      <c r="AD551" s="112" t="str">
        <f t="shared" si="143"/>
        <v/>
      </c>
    </row>
    <row r="552" spans="1:30" x14ac:dyDescent="0.2">
      <c r="A552" s="112" t="str">
        <f>IF(SUM(Q552:R552)=1,1+MAX($A$1:A551),"")</f>
        <v/>
      </c>
      <c r="B552" s="112" t="str">
        <f>IF(SUM(X552:Y552)=1,1+MAX($B$1:B551),"")</f>
        <v/>
      </c>
      <c r="C552" s="112" t="str">
        <f>IF(SUM(Q552:R552,X552:Y552)=2,1+MAX($C$1:C551),"")</f>
        <v/>
      </c>
      <c r="D552" s="113">
        <v>28648</v>
      </c>
      <c r="E552" s="112">
        <v>1978</v>
      </c>
      <c r="F552" s="112" t="s">
        <v>3020</v>
      </c>
      <c r="G552" s="112">
        <v>4</v>
      </c>
      <c r="H552" s="114" t="s">
        <v>2604</v>
      </c>
      <c r="I552" s="112">
        <f t="shared" si="128"/>
        <v>0</v>
      </c>
      <c r="J552" s="112">
        <f t="shared" si="129"/>
        <v>0</v>
      </c>
      <c r="K552" s="115" t="s">
        <v>2134</v>
      </c>
      <c r="L552" s="115" t="s">
        <v>3063</v>
      </c>
      <c r="M552" s="115" t="s">
        <v>3013</v>
      </c>
      <c r="N552" s="115">
        <v>28125</v>
      </c>
      <c r="O552" s="112">
        <v>2</v>
      </c>
      <c r="P552" s="116" t="s">
        <v>2613</v>
      </c>
      <c r="Q552" s="112" t="str">
        <f t="shared" si="130"/>
        <v/>
      </c>
      <c r="R552" s="112" t="str">
        <f t="shared" si="131"/>
        <v/>
      </c>
      <c r="S552" s="112" t="str">
        <f t="shared" si="134"/>
        <v/>
      </c>
      <c r="T552" s="112" t="str">
        <f t="shared" si="135"/>
        <v/>
      </c>
      <c r="U552" s="112" t="str">
        <f t="shared" si="136"/>
        <v/>
      </c>
      <c r="V552" s="112" t="str">
        <f t="shared" si="137"/>
        <v/>
      </c>
      <c r="W552" s="112" t="str">
        <f t="shared" si="138"/>
        <v/>
      </c>
      <c r="X552" s="112" t="str">
        <f t="shared" si="132"/>
        <v/>
      </c>
      <c r="Y552" s="112" t="str">
        <f t="shared" si="133"/>
        <v/>
      </c>
      <c r="Z552" s="112" t="str">
        <f t="shared" si="139"/>
        <v/>
      </c>
      <c r="AA552" s="112" t="str">
        <f t="shared" si="140"/>
        <v/>
      </c>
      <c r="AB552" s="112" t="str">
        <f t="shared" si="141"/>
        <v/>
      </c>
      <c r="AC552" s="112" t="str">
        <f t="shared" si="142"/>
        <v/>
      </c>
      <c r="AD552" s="112" t="str">
        <f t="shared" si="143"/>
        <v/>
      </c>
    </row>
    <row r="553" spans="1:30" x14ac:dyDescent="0.2">
      <c r="A553" s="112" t="str">
        <f>IF(SUM(Q553:R553)=1,1+MAX($A$1:A552),"")</f>
        <v/>
      </c>
      <c r="B553" s="112" t="str">
        <f>IF(SUM(X553:Y553)=1,1+MAX($B$1:B552),"")</f>
        <v/>
      </c>
      <c r="C553" s="112" t="str">
        <f>IF(SUM(Q553:R553,X553:Y553)=2,1+MAX($C$1:C552),"")</f>
        <v/>
      </c>
      <c r="D553" s="113">
        <v>28648</v>
      </c>
      <c r="E553" s="112">
        <v>1978</v>
      </c>
      <c r="F553" s="112" t="s">
        <v>3020</v>
      </c>
      <c r="G553" s="112">
        <v>4</v>
      </c>
      <c r="H553" s="114" t="s">
        <v>2553</v>
      </c>
      <c r="I553" s="112">
        <f t="shared" si="128"/>
        <v>1</v>
      </c>
      <c r="J553" s="112">
        <f t="shared" si="129"/>
        <v>1</v>
      </c>
      <c r="K553" s="115" t="s">
        <v>2717</v>
      </c>
      <c r="L553" s="115" t="s">
        <v>3066</v>
      </c>
      <c r="M553" s="115" t="s">
        <v>3079</v>
      </c>
      <c r="N553" s="115">
        <v>7938</v>
      </c>
      <c r="O553" s="112">
        <v>2</v>
      </c>
      <c r="P553" s="116" t="s">
        <v>2645</v>
      </c>
      <c r="Q553" s="112" t="str">
        <f t="shared" si="130"/>
        <v/>
      </c>
      <c r="R553" s="112" t="str">
        <f t="shared" si="131"/>
        <v/>
      </c>
      <c r="S553" s="112" t="str">
        <f t="shared" si="134"/>
        <v/>
      </c>
      <c r="T553" s="112" t="str">
        <f t="shared" si="135"/>
        <v/>
      </c>
      <c r="U553" s="112" t="str">
        <f t="shared" si="136"/>
        <v/>
      </c>
      <c r="V553" s="112" t="str">
        <f t="shared" si="137"/>
        <v/>
      </c>
      <c r="W553" s="112" t="str">
        <f t="shared" si="138"/>
        <v/>
      </c>
      <c r="X553" s="112" t="str">
        <f t="shared" si="132"/>
        <v/>
      </c>
      <c r="Y553" s="112" t="str">
        <f t="shared" si="133"/>
        <v/>
      </c>
      <c r="Z553" s="112" t="str">
        <f t="shared" si="139"/>
        <v/>
      </c>
      <c r="AA553" s="112" t="str">
        <f t="shared" si="140"/>
        <v/>
      </c>
      <c r="AB553" s="112" t="str">
        <f t="shared" si="141"/>
        <v/>
      </c>
      <c r="AC553" s="112" t="str">
        <f t="shared" si="142"/>
        <v/>
      </c>
      <c r="AD553" s="112" t="str">
        <f t="shared" si="143"/>
        <v/>
      </c>
    </row>
    <row r="554" spans="1:30" x14ac:dyDescent="0.2">
      <c r="A554" s="112" t="str">
        <f>IF(SUM(Q554:R554)=1,1+MAX($A$1:A553),"")</f>
        <v/>
      </c>
      <c r="B554" s="112" t="str">
        <f>IF(SUM(X554:Y554)=1,1+MAX($B$1:B553),"")</f>
        <v/>
      </c>
      <c r="C554" s="112" t="str">
        <f>IF(SUM(Q554:R554,X554:Y554)=2,1+MAX($C$1:C553),"")</f>
        <v/>
      </c>
      <c r="D554" s="113">
        <v>28648</v>
      </c>
      <c r="E554" s="112">
        <v>1978</v>
      </c>
      <c r="F554" s="112" t="s">
        <v>3033</v>
      </c>
      <c r="G554" s="112">
        <v>3</v>
      </c>
      <c r="H554" s="114" t="s">
        <v>1442</v>
      </c>
      <c r="I554" s="112">
        <f t="shared" si="128"/>
        <v>0</v>
      </c>
      <c r="J554" s="112">
        <f t="shared" si="129"/>
        <v>0</v>
      </c>
      <c r="K554" s="115" t="s">
        <v>2557</v>
      </c>
      <c r="L554" s="115" t="s">
        <v>3074</v>
      </c>
      <c r="M554" s="115" t="s">
        <v>3059</v>
      </c>
      <c r="N554" s="115">
        <v>34771</v>
      </c>
      <c r="O554" s="112">
        <v>2</v>
      </c>
      <c r="P554" s="116" t="s">
        <v>2613</v>
      </c>
      <c r="Q554" s="112" t="str">
        <f t="shared" si="130"/>
        <v/>
      </c>
      <c r="R554" s="112" t="str">
        <f t="shared" si="131"/>
        <v/>
      </c>
      <c r="S554" s="112" t="str">
        <f t="shared" si="134"/>
        <v/>
      </c>
      <c r="T554" s="112" t="str">
        <f t="shared" si="135"/>
        <v/>
      </c>
      <c r="U554" s="112" t="str">
        <f t="shared" si="136"/>
        <v/>
      </c>
      <c r="V554" s="112" t="str">
        <f t="shared" si="137"/>
        <v/>
      </c>
      <c r="W554" s="112" t="str">
        <f t="shared" si="138"/>
        <v/>
      </c>
      <c r="X554" s="112" t="str">
        <f t="shared" si="132"/>
        <v/>
      </c>
      <c r="Y554" s="112" t="str">
        <f t="shared" si="133"/>
        <v/>
      </c>
      <c r="Z554" s="112" t="str">
        <f t="shared" si="139"/>
        <v/>
      </c>
      <c r="AA554" s="112" t="str">
        <f t="shared" si="140"/>
        <v/>
      </c>
      <c r="AB554" s="112" t="str">
        <f t="shared" si="141"/>
        <v/>
      </c>
      <c r="AC554" s="112" t="str">
        <f t="shared" si="142"/>
        <v/>
      </c>
      <c r="AD554" s="112" t="str">
        <f t="shared" si="143"/>
        <v/>
      </c>
    </row>
    <row r="555" spans="1:30" x14ac:dyDescent="0.2">
      <c r="A555" s="112" t="str">
        <f>IF(SUM(Q555:R555)=1,1+MAX($A$1:A554),"")</f>
        <v/>
      </c>
      <c r="B555" s="112" t="str">
        <f>IF(SUM(X555:Y555)=1,1+MAX($B$1:B554),"")</f>
        <v/>
      </c>
      <c r="C555" s="112" t="str">
        <f>IF(SUM(Q555:R555,X555:Y555)=2,1+MAX($C$1:C554),"")</f>
        <v/>
      </c>
      <c r="D555" s="113">
        <v>28648</v>
      </c>
      <c r="E555" s="112">
        <v>1978</v>
      </c>
      <c r="F555" s="112" t="s">
        <v>3033</v>
      </c>
      <c r="G555" s="112">
        <v>3</v>
      </c>
      <c r="H555" s="114" t="s">
        <v>2623</v>
      </c>
      <c r="I555" s="112">
        <f t="shared" si="128"/>
        <v>1</v>
      </c>
      <c r="J555" s="112">
        <f t="shared" si="129"/>
        <v>0</v>
      </c>
      <c r="K555" s="115" t="s">
        <v>2549</v>
      </c>
      <c r="L555" s="115" t="s">
        <v>3075</v>
      </c>
      <c r="M555" s="115" t="s">
        <v>3004</v>
      </c>
      <c r="N555" s="115">
        <v>41424</v>
      </c>
      <c r="O555" s="112">
        <v>2</v>
      </c>
      <c r="P555" s="116" t="s">
        <v>2622</v>
      </c>
      <c r="Q555" s="112" t="str">
        <f t="shared" si="130"/>
        <v/>
      </c>
      <c r="R555" s="112" t="str">
        <f t="shared" si="131"/>
        <v/>
      </c>
      <c r="S555" s="112" t="str">
        <f t="shared" si="134"/>
        <v/>
      </c>
      <c r="T555" s="112" t="str">
        <f t="shared" si="135"/>
        <v/>
      </c>
      <c r="U555" s="112" t="str">
        <f t="shared" si="136"/>
        <v/>
      </c>
      <c r="V555" s="112" t="str">
        <f t="shared" si="137"/>
        <v/>
      </c>
      <c r="W555" s="112" t="str">
        <f t="shared" si="138"/>
        <v/>
      </c>
      <c r="X555" s="112" t="str">
        <f t="shared" si="132"/>
        <v/>
      </c>
      <c r="Y555" s="112" t="str">
        <f t="shared" si="133"/>
        <v/>
      </c>
      <c r="Z555" s="112" t="str">
        <f t="shared" si="139"/>
        <v/>
      </c>
      <c r="AA555" s="112" t="str">
        <f t="shared" si="140"/>
        <v/>
      </c>
      <c r="AB555" s="112" t="str">
        <f t="shared" si="141"/>
        <v/>
      </c>
      <c r="AC555" s="112" t="str">
        <f t="shared" si="142"/>
        <v/>
      </c>
      <c r="AD555" s="112" t="str">
        <f t="shared" si="143"/>
        <v/>
      </c>
    </row>
    <row r="556" spans="1:30" x14ac:dyDescent="0.2">
      <c r="A556" s="112" t="str">
        <f>IF(SUM(Q556:R556)=1,1+MAX($A$1:A555),"")</f>
        <v/>
      </c>
      <c r="B556" s="112" t="str">
        <f>IF(SUM(X556:Y556)=1,1+MAX($B$1:B555),"")</f>
        <v/>
      </c>
      <c r="C556" s="112" t="str">
        <f>IF(SUM(Q556:R556,X556:Y556)=2,1+MAX($C$1:C555),"")</f>
        <v/>
      </c>
      <c r="D556" s="113">
        <v>28647</v>
      </c>
      <c r="E556" s="112">
        <v>1978</v>
      </c>
      <c r="F556" s="112" t="s">
        <v>3024</v>
      </c>
      <c r="G556" s="112">
        <v>2</v>
      </c>
      <c r="H556" s="114" t="s">
        <v>2544</v>
      </c>
      <c r="I556" s="112">
        <f t="shared" si="128"/>
        <v>1</v>
      </c>
      <c r="J556" s="112">
        <f t="shared" si="129"/>
        <v>0</v>
      </c>
      <c r="K556" s="115" t="s">
        <v>2388</v>
      </c>
      <c r="L556" s="115" t="s">
        <v>3061</v>
      </c>
      <c r="M556" s="115" t="s">
        <v>3065</v>
      </c>
      <c r="N556" s="115">
        <v>9624</v>
      </c>
      <c r="O556" s="112">
        <v>2</v>
      </c>
      <c r="P556" s="116" t="s">
        <v>2622</v>
      </c>
      <c r="Q556" s="112" t="str">
        <f t="shared" si="130"/>
        <v/>
      </c>
      <c r="R556" s="112" t="str">
        <f t="shared" si="131"/>
        <v/>
      </c>
      <c r="S556" s="112" t="str">
        <f t="shared" si="134"/>
        <v/>
      </c>
      <c r="T556" s="112" t="str">
        <f t="shared" si="135"/>
        <v/>
      </c>
      <c r="U556" s="112" t="str">
        <f t="shared" si="136"/>
        <v/>
      </c>
      <c r="V556" s="112" t="str">
        <f t="shared" si="137"/>
        <v/>
      </c>
      <c r="W556" s="112" t="str">
        <f t="shared" si="138"/>
        <v/>
      </c>
      <c r="X556" s="112" t="str">
        <f t="shared" si="132"/>
        <v/>
      </c>
      <c r="Y556" s="112" t="str">
        <f t="shared" si="133"/>
        <v/>
      </c>
      <c r="Z556" s="112" t="str">
        <f t="shared" si="139"/>
        <v/>
      </c>
      <c r="AA556" s="112" t="str">
        <f t="shared" si="140"/>
        <v/>
      </c>
      <c r="AB556" s="112" t="str">
        <f t="shared" si="141"/>
        <v/>
      </c>
      <c r="AC556" s="112" t="str">
        <f t="shared" si="142"/>
        <v/>
      </c>
      <c r="AD556" s="112" t="str">
        <f t="shared" si="143"/>
        <v/>
      </c>
    </row>
    <row r="557" spans="1:30" x14ac:dyDescent="0.2">
      <c r="A557" s="112" t="str">
        <f>IF(SUM(Q557:R557)=1,1+MAX($A$1:A556),"")</f>
        <v/>
      </c>
      <c r="B557" s="112" t="str">
        <f>IF(SUM(X557:Y557)=1,1+MAX($B$1:B556),"")</f>
        <v/>
      </c>
      <c r="C557" s="112" t="str">
        <f>IF(SUM(Q557:R557,X557:Y557)=2,1+MAX($C$1:C556),"")</f>
        <v/>
      </c>
      <c r="D557" s="113">
        <v>28647</v>
      </c>
      <c r="E557" s="112">
        <v>1978</v>
      </c>
      <c r="F557" s="112" t="s">
        <v>3024</v>
      </c>
      <c r="G557" s="112">
        <v>2</v>
      </c>
      <c r="H557" s="114" t="s">
        <v>2547</v>
      </c>
      <c r="I557" s="112">
        <f t="shared" si="128"/>
        <v>6</v>
      </c>
      <c r="J557" s="112">
        <f t="shared" si="129"/>
        <v>0</v>
      </c>
      <c r="K557" s="115" t="s">
        <v>1061</v>
      </c>
      <c r="L557" s="115" t="s">
        <v>3061</v>
      </c>
      <c r="M557" s="115" t="s">
        <v>3080</v>
      </c>
      <c r="N557" s="115">
        <v>35258</v>
      </c>
      <c r="O557" s="112">
        <v>2</v>
      </c>
      <c r="P557" s="116" t="s">
        <v>2793</v>
      </c>
      <c r="Q557" s="112" t="str">
        <f t="shared" si="130"/>
        <v/>
      </c>
      <c r="R557" s="112" t="str">
        <f t="shared" si="131"/>
        <v/>
      </c>
      <c r="S557" s="112" t="str">
        <f t="shared" si="134"/>
        <v/>
      </c>
      <c r="T557" s="112" t="str">
        <f t="shared" si="135"/>
        <v/>
      </c>
      <c r="U557" s="112" t="str">
        <f t="shared" si="136"/>
        <v/>
      </c>
      <c r="V557" s="112" t="str">
        <f t="shared" si="137"/>
        <v/>
      </c>
      <c r="W557" s="112" t="str">
        <f t="shared" si="138"/>
        <v/>
      </c>
      <c r="X557" s="112" t="str">
        <f t="shared" si="132"/>
        <v/>
      </c>
      <c r="Y557" s="112" t="str">
        <f t="shared" si="133"/>
        <v/>
      </c>
      <c r="Z557" s="112" t="str">
        <f t="shared" si="139"/>
        <v/>
      </c>
      <c r="AA557" s="112" t="str">
        <f t="shared" si="140"/>
        <v/>
      </c>
      <c r="AB557" s="112" t="str">
        <f t="shared" si="141"/>
        <v/>
      </c>
      <c r="AC557" s="112" t="str">
        <f t="shared" si="142"/>
        <v/>
      </c>
      <c r="AD557" s="112" t="str">
        <f t="shared" si="143"/>
        <v/>
      </c>
    </row>
    <row r="558" spans="1:30" x14ac:dyDescent="0.2">
      <c r="A558" s="112" t="str">
        <f>IF(SUM(Q558:R558)=1,1+MAX($A$1:A557),"")</f>
        <v/>
      </c>
      <c r="B558" s="112">
        <f>IF(SUM(X558:Y558)=1,1+MAX($B$1:B557),"")</f>
        <v>54</v>
      </c>
      <c r="C558" s="112" t="str">
        <f>IF(SUM(Q558:R558,X558:Y558)=2,1+MAX($C$1:C557),"")</f>
        <v/>
      </c>
      <c r="D558" s="113">
        <v>28647</v>
      </c>
      <c r="E558" s="112">
        <v>1978</v>
      </c>
      <c r="F558" s="112" t="s">
        <v>3035</v>
      </c>
      <c r="G558" s="112">
        <v>1</v>
      </c>
      <c r="H558" s="114" t="s">
        <v>1134</v>
      </c>
      <c r="I558" s="112">
        <f t="shared" si="128"/>
        <v>2</v>
      </c>
      <c r="J558" s="112">
        <f t="shared" si="129"/>
        <v>1</v>
      </c>
      <c r="K558" s="115" t="s">
        <v>2541</v>
      </c>
      <c r="L558" s="115" t="s">
        <v>3058</v>
      </c>
      <c r="M558" s="115" t="s">
        <v>3081</v>
      </c>
      <c r="N558" s="115">
        <v>71666</v>
      </c>
      <c r="O558" s="112">
        <v>2</v>
      </c>
      <c r="P558" s="116" t="s">
        <v>2626</v>
      </c>
      <c r="Q558" s="112" t="str">
        <f t="shared" si="130"/>
        <v/>
      </c>
      <c r="R558" s="112" t="str">
        <f t="shared" si="131"/>
        <v/>
      </c>
      <c r="S558" s="112" t="str">
        <f t="shared" si="134"/>
        <v/>
      </c>
      <c r="T558" s="112" t="str">
        <f t="shared" si="135"/>
        <v/>
      </c>
      <c r="U558" s="112" t="str">
        <f t="shared" si="136"/>
        <v/>
      </c>
      <c r="V558" s="112" t="str">
        <f t="shared" si="137"/>
        <v/>
      </c>
      <c r="W558" s="112" t="str">
        <f t="shared" si="138"/>
        <v/>
      </c>
      <c r="X558" s="112">
        <f t="shared" si="132"/>
        <v>1</v>
      </c>
      <c r="Y558" s="112" t="str">
        <f t="shared" si="133"/>
        <v/>
      </c>
      <c r="Z558" s="112">
        <f t="shared" si="139"/>
        <v>1</v>
      </c>
      <c r="AA558" s="112">
        <f t="shared" si="140"/>
        <v>0</v>
      </c>
      <c r="AB558" s="112">
        <f t="shared" si="141"/>
        <v>0</v>
      </c>
      <c r="AC558" s="112">
        <f t="shared" si="142"/>
        <v>3</v>
      </c>
      <c r="AD558" s="112">
        <f t="shared" si="143"/>
        <v>1</v>
      </c>
    </row>
    <row r="559" spans="1:30" x14ac:dyDescent="0.2">
      <c r="A559" s="112" t="str">
        <f>IF(SUM(Q559:R559)=1,1+MAX($A$1:A558),"")</f>
        <v/>
      </c>
      <c r="B559" s="112" t="str">
        <f>IF(SUM(X559:Y559)=1,1+MAX($B$1:B558),"")</f>
        <v/>
      </c>
      <c r="C559" s="112" t="str">
        <f>IF(SUM(Q559:R559,X559:Y559)=2,1+MAX($C$1:C558),"")</f>
        <v/>
      </c>
      <c r="D559" s="113">
        <v>28647</v>
      </c>
      <c r="E559" s="112">
        <v>1978</v>
      </c>
      <c r="F559" s="112" t="s">
        <v>3035</v>
      </c>
      <c r="G559" s="112">
        <v>1</v>
      </c>
      <c r="H559" s="114" t="s">
        <v>2725</v>
      </c>
      <c r="I559" s="112">
        <f t="shared" si="128"/>
        <v>1</v>
      </c>
      <c r="J559" s="112">
        <f t="shared" si="129"/>
        <v>3</v>
      </c>
      <c r="K559" s="115" t="s">
        <v>2674</v>
      </c>
      <c r="L559" s="115" t="s">
        <v>3074</v>
      </c>
      <c r="M559" s="115" t="s">
        <v>3069</v>
      </c>
      <c r="N559" s="115">
        <v>26533</v>
      </c>
      <c r="O559" s="112">
        <v>2</v>
      </c>
      <c r="P559" s="116" t="s">
        <v>2691</v>
      </c>
      <c r="Q559" s="112" t="str">
        <f t="shared" si="130"/>
        <v/>
      </c>
      <c r="R559" s="112" t="str">
        <f t="shared" si="131"/>
        <v/>
      </c>
      <c r="S559" s="112" t="str">
        <f t="shared" si="134"/>
        <v/>
      </c>
      <c r="T559" s="112" t="str">
        <f t="shared" si="135"/>
        <v/>
      </c>
      <c r="U559" s="112" t="str">
        <f t="shared" si="136"/>
        <v/>
      </c>
      <c r="V559" s="112" t="str">
        <f t="shared" si="137"/>
        <v/>
      </c>
      <c r="W559" s="112" t="str">
        <f t="shared" si="138"/>
        <v/>
      </c>
      <c r="X559" s="112" t="str">
        <f t="shared" si="132"/>
        <v/>
      </c>
      <c r="Y559" s="112" t="str">
        <f t="shared" si="133"/>
        <v/>
      </c>
      <c r="Z559" s="112" t="str">
        <f t="shared" si="139"/>
        <v/>
      </c>
      <c r="AA559" s="112" t="str">
        <f t="shared" si="140"/>
        <v/>
      </c>
      <c r="AB559" s="112" t="str">
        <f t="shared" si="141"/>
        <v/>
      </c>
      <c r="AC559" s="112" t="str">
        <f t="shared" si="142"/>
        <v/>
      </c>
      <c r="AD559" s="112" t="str">
        <f t="shared" si="143"/>
        <v/>
      </c>
    </row>
    <row r="560" spans="1:30" x14ac:dyDescent="0.2">
      <c r="A560" s="112" t="str">
        <f>IF(SUM(Q560:R560)=1,1+MAX($A$1:A559),"")</f>
        <v/>
      </c>
      <c r="B560" s="112" t="str">
        <f>IF(SUM(X560:Y560)=1,1+MAX($B$1:B559),"")</f>
        <v/>
      </c>
      <c r="C560" s="112" t="str">
        <f>IF(SUM(Q560:R560,X560:Y560)=2,1+MAX($C$1:C559),"")</f>
        <v/>
      </c>
      <c r="D560" s="113">
        <v>28644</v>
      </c>
      <c r="E560" s="112">
        <v>1978</v>
      </c>
      <c r="F560" s="112" t="s">
        <v>3020</v>
      </c>
      <c r="G560" s="112">
        <v>4</v>
      </c>
      <c r="H560" s="114" t="s">
        <v>2553</v>
      </c>
      <c r="I560" s="112">
        <f t="shared" si="128"/>
        <v>0</v>
      </c>
      <c r="J560" s="112">
        <f t="shared" si="129"/>
        <v>3</v>
      </c>
      <c r="K560" s="115" t="s">
        <v>2604</v>
      </c>
      <c r="L560" s="115" t="s">
        <v>3063</v>
      </c>
      <c r="M560" s="115" t="s">
        <v>3082</v>
      </c>
      <c r="N560" s="115">
        <v>33431</v>
      </c>
      <c r="O560" s="112">
        <v>2</v>
      </c>
      <c r="P560" s="116" t="s">
        <v>2607</v>
      </c>
      <c r="Q560" s="112" t="str">
        <f t="shared" si="130"/>
        <v/>
      </c>
      <c r="R560" s="112" t="str">
        <f t="shared" si="131"/>
        <v/>
      </c>
      <c r="S560" s="112" t="str">
        <f t="shared" si="134"/>
        <v/>
      </c>
      <c r="T560" s="112" t="str">
        <f t="shared" si="135"/>
        <v/>
      </c>
      <c r="U560" s="112" t="str">
        <f t="shared" si="136"/>
        <v/>
      </c>
      <c r="V560" s="112" t="str">
        <f t="shared" si="137"/>
        <v/>
      </c>
      <c r="W560" s="112" t="str">
        <f t="shared" si="138"/>
        <v/>
      </c>
      <c r="X560" s="112" t="str">
        <f t="shared" si="132"/>
        <v/>
      </c>
      <c r="Y560" s="112" t="str">
        <f t="shared" si="133"/>
        <v/>
      </c>
      <c r="Z560" s="112" t="str">
        <f t="shared" si="139"/>
        <v/>
      </c>
      <c r="AA560" s="112" t="str">
        <f t="shared" si="140"/>
        <v/>
      </c>
      <c r="AB560" s="112" t="str">
        <f t="shared" si="141"/>
        <v/>
      </c>
      <c r="AC560" s="112" t="str">
        <f t="shared" si="142"/>
        <v/>
      </c>
      <c r="AD560" s="112" t="str">
        <f t="shared" si="143"/>
        <v/>
      </c>
    </row>
    <row r="561" spans="1:30" x14ac:dyDescent="0.2">
      <c r="A561" s="112" t="str">
        <f>IF(SUM(Q561:R561)=1,1+MAX($A$1:A560),"")</f>
        <v/>
      </c>
      <c r="B561" s="112" t="str">
        <f>IF(SUM(X561:Y561)=1,1+MAX($B$1:B560),"")</f>
        <v/>
      </c>
      <c r="C561" s="112" t="str">
        <f>IF(SUM(Q561:R561,X561:Y561)=2,1+MAX($C$1:C560),"")</f>
        <v/>
      </c>
      <c r="D561" s="113">
        <v>28644</v>
      </c>
      <c r="E561" s="112">
        <v>1978</v>
      </c>
      <c r="F561" s="112" t="s">
        <v>3020</v>
      </c>
      <c r="G561" s="112">
        <v>4</v>
      </c>
      <c r="H561" s="114" t="s">
        <v>2134</v>
      </c>
      <c r="I561" s="112">
        <f t="shared" si="128"/>
        <v>3</v>
      </c>
      <c r="J561" s="112">
        <f t="shared" si="129"/>
        <v>1</v>
      </c>
      <c r="K561" s="115" t="s">
        <v>2717</v>
      </c>
      <c r="L561" s="115" t="s">
        <v>3066</v>
      </c>
      <c r="M561" s="115" t="s">
        <v>3070</v>
      </c>
      <c r="N561" s="115">
        <v>37927</v>
      </c>
      <c r="O561" s="112">
        <v>2</v>
      </c>
      <c r="P561" s="116" t="s">
        <v>2663</v>
      </c>
      <c r="Q561" s="112" t="str">
        <f t="shared" si="130"/>
        <v/>
      </c>
      <c r="R561" s="112" t="str">
        <f t="shared" si="131"/>
        <v/>
      </c>
      <c r="S561" s="112" t="str">
        <f t="shared" si="134"/>
        <v/>
      </c>
      <c r="T561" s="112" t="str">
        <f t="shared" si="135"/>
        <v/>
      </c>
      <c r="U561" s="112" t="str">
        <f t="shared" si="136"/>
        <v/>
      </c>
      <c r="V561" s="112" t="str">
        <f t="shared" si="137"/>
        <v/>
      </c>
      <c r="W561" s="112" t="str">
        <f t="shared" si="138"/>
        <v/>
      </c>
      <c r="X561" s="112" t="str">
        <f t="shared" si="132"/>
        <v/>
      </c>
      <c r="Y561" s="112" t="str">
        <f t="shared" si="133"/>
        <v/>
      </c>
      <c r="Z561" s="112" t="str">
        <f t="shared" si="139"/>
        <v/>
      </c>
      <c r="AA561" s="112" t="str">
        <f t="shared" si="140"/>
        <v/>
      </c>
      <c r="AB561" s="112" t="str">
        <f t="shared" si="141"/>
        <v/>
      </c>
      <c r="AC561" s="112" t="str">
        <f t="shared" si="142"/>
        <v/>
      </c>
      <c r="AD561" s="112" t="str">
        <f t="shared" si="143"/>
        <v/>
      </c>
    </row>
    <row r="562" spans="1:30" x14ac:dyDescent="0.2">
      <c r="A562" s="112" t="str">
        <f>IF(SUM(Q562:R562)=1,1+MAX($A$1:A561),"")</f>
        <v/>
      </c>
      <c r="B562" s="112" t="str">
        <f>IF(SUM(X562:Y562)=1,1+MAX($B$1:B561),"")</f>
        <v/>
      </c>
      <c r="C562" s="112" t="str">
        <f>IF(SUM(Q562:R562,X562:Y562)=2,1+MAX($C$1:C561),"")</f>
        <v/>
      </c>
      <c r="D562" s="113">
        <v>28644</v>
      </c>
      <c r="E562" s="112">
        <v>1978</v>
      </c>
      <c r="F562" s="112" t="s">
        <v>3033</v>
      </c>
      <c r="G562" s="112">
        <v>3</v>
      </c>
      <c r="H562" s="114" t="s">
        <v>1442</v>
      </c>
      <c r="I562" s="112">
        <f t="shared" si="128"/>
        <v>1</v>
      </c>
      <c r="J562" s="112">
        <f t="shared" si="129"/>
        <v>1</v>
      </c>
      <c r="K562" s="115" t="s">
        <v>2549</v>
      </c>
      <c r="L562" s="115" t="s">
        <v>3074</v>
      </c>
      <c r="M562" s="115" t="s">
        <v>3083</v>
      </c>
      <c r="N562" s="115">
        <v>32569</v>
      </c>
      <c r="O562" s="112">
        <v>2</v>
      </c>
      <c r="P562" s="116" t="s">
        <v>2645</v>
      </c>
      <c r="Q562" s="112" t="str">
        <f t="shared" si="130"/>
        <v/>
      </c>
      <c r="R562" s="112" t="str">
        <f t="shared" si="131"/>
        <v/>
      </c>
      <c r="S562" s="112" t="str">
        <f t="shared" si="134"/>
        <v/>
      </c>
      <c r="T562" s="112" t="str">
        <f t="shared" si="135"/>
        <v/>
      </c>
      <c r="U562" s="112" t="str">
        <f t="shared" si="136"/>
        <v/>
      </c>
      <c r="V562" s="112" t="str">
        <f t="shared" si="137"/>
        <v/>
      </c>
      <c r="W562" s="112" t="str">
        <f t="shared" si="138"/>
        <v/>
      </c>
      <c r="X562" s="112" t="str">
        <f t="shared" si="132"/>
        <v/>
      </c>
      <c r="Y562" s="112" t="str">
        <f t="shared" si="133"/>
        <v/>
      </c>
      <c r="Z562" s="112" t="str">
        <f t="shared" si="139"/>
        <v/>
      </c>
      <c r="AA562" s="112" t="str">
        <f t="shared" si="140"/>
        <v/>
      </c>
      <c r="AB562" s="112" t="str">
        <f t="shared" si="141"/>
        <v/>
      </c>
      <c r="AC562" s="112" t="str">
        <f t="shared" si="142"/>
        <v/>
      </c>
      <c r="AD562" s="112" t="str">
        <f t="shared" si="143"/>
        <v/>
      </c>
    </row>
    <row r="563" spans="1:30" x14ac:dyDescent="0.2">
      <c r="A563" s="112" t="str">
        <f>IF(SUM(Q563:R563)=1,1+MAX($A$1:A562),"")</f>
        <v/>
      </c>
      <c r="B563" s="112" t="str">
        <f>IF(SUM(X563:Y563)=1,1+MAX($B$1:B562),"")</f>
        <v/>
      </c>
      <c r="C563" s="112" t="str">
        <f>IF(SUM(Q563:R563,X563:Y563)=2,1+MAX($C$1:C562),"")</f>
        <v/>
      </c>
      <c r="D563" s="113">
        <v>28644</v>
      </c>
      <c r="E563" s="112">
        <v>1978</v>
      </c>
      <c r="F563" s="112" t="s">
        <v>3033</v>
      </c>
      <c r="G563" s="112">
        <v>3</v>
      </c>
      <c r="H563" s="114" t="s">
        <v>2623</v>
      </c>
      <c r="I563" s="112">
        <f t="shared" si="128"/>
        <v>2</v>
      </c>
      <c r="J563" s="112">
        <f t="shared" si="129"/>
        <v>1</v>
      </c>
      <c r="K563" s="115" t="s">
        <v>2557</v>
      </c>
      <c r="L563" s="115" t="s">
        <v>3075</v>
      </c>
      <c r="M563" s="115" t="s">
        <v>3015</v>
      </c>
      <c r="N563" s="115">
        <v>40841</v>
      </c>
      <c r="O563" s="112">
        <v>2</v>
      </c>
      <c r="P563" s="116" t="s">
        <v>2626</v>
      </c>
      <c r="Q563" s="112" t="str">
        <f t="shared" si="130"/>
        <v/>
      </c>
      <c r="R563" s="112" t="str">
        <f t="shared" si="131"/>
        <v/>
      </c>
      <c r="S563" s="112" t="str">
        <f t="shared" si="134"/>
        <v/>
      </c>
      <c r="T563" s="112" t="str">
        <f t="shared" si="135"/>
        <v/>
      </c>
      <c r="U563" s="112" t="str">
        <f t="shared" si="136"/>
        <v/>
      </c>
      <c r="V563" s="112" t="str">
        <f t="shared" si="137"/>
        <v/>
      </c>
      <c r="W563" s="112" t="str">
        <f t="shared" si="138"/>
        <v/>
      </c>
      <c r="X563" s="112" t="str">
        <f t="shared" si="132"/>
        <v/>
      </c>
      <c r="Y563" s="112" t="str">
        <f t="shared" si="133"/>
        <v/>
      </c>
      <c r="Z563" s="112" t="str">
        <f t="shared" si="139"/>
        <v/>
      </c>
      <c r="AA563" s="112" t="str">
        <f t="shared" si="140"/>
        <v/>
      </c>
      <c r="AB563" s="112" t="str">
        <f t="shared" si="141"/>
        <v/>
      </c>
      <c r="AC563" s="112" t="str">
        <f t="shared" si="142"/>
        <v/>
      </c>
      <c r="AD563" s="112" t="str">
        <f t="shared" si="143"/>
        <v/>
      </c>
    </row>
    <row r="564" spans="1:30" x14ac:dyDescent="0.2">
      <c r="A564" s="112" t="str">
        <f>IF(SUM(Q564:R564)=1,1+MAX($A$1:A563),"")</f>
        <v/>
      </c>
      <c r="B564" s="112" t="str">
        <f>IF(SUM(X564:Y564)=1,1+MAX($B$1:B563),"")</f>
        <v/>
      </c>
      <c r="C564" s="112" t="str">
        <f>IF(SUM(Q564:R564,X564:Y564)=2,1+MAX($C$1:C563),"")</f>
        <v/>
      </c>
      <c r="D564" s="113">
        <v>28643</v>
      </c>
      <c r="E564" s="112">
        <v>1978</v>
      </c>
      <c r="F564" s="112" t="s">
        <v>3024</v>
      </c>
      <c r="G564" s="112">
        <v>2</v>
      </c>
      <c r="H564" s="114" t="s">
        <v>1061</v>
      </c>
      <c r="I564" s="112">
        <f t="shared" si="128"/>
        <v>1</v>
      </c>
      <c r="J564" s="112">
        <f t="shared" si="129"/>
        <v>3</v>
      </c>
      <c r="K564" s="115" t="s">
        <v>2388</v>
      </c>
      <c r="L564" s="115" t="s">
        <v>3061</v>
      </c>
      <c r="M564" s="115" t="s">
        <v>3072</v>
      </c>
      <c r="N564" s="115">
        <v>17396</v>
      </c>
      <c r="O564" s="112">
        <v>2</v>
      </c>
      <c r="P564" s="116" t="s">
        <v>2691</v>
      </c>
      <c r="Q564" s="112" t="str">
        <f t="shared" si="130"/>
        <v/>
      </c>
      <c r="R564" s="112" t="str">
        <f t="shared" si="131"/>
        <v/>
      </c>
      <c r="S564" s="112" t="str">
        <f t="shared" si="134"/>
        <v/>
      </c>
      <c r="T564" s="112" t="str">
        <f t="shared" si="135"/>
        <v/>
      </c>
      <c r="U564" s="112" t="str">
        <f t="shared" si="136"/>
        <v/>
      </c>
      <c r="V564" s="112" t="str">
        <f t="shared" si="137"/>
        <v/>
      </c>
      <c r="W564" s="112" t="str">
        <f t="shared" si="138"/>
        <v/>
      </c>
      <c r="X564" s="112" t="str">
        <f t="shared" si="132"/>
        <v/>
      </c>
      <c r="Y564" s="112" t="str">
        <f t="shared" si="133"/>
        <v/>
      </c>
      <c r="Z564" s="112" t="str">
        <f t="shared" si="139"/>
        <v/>
      </c>
      <c r="AA564" s="112" t="str">
        <f t="shared" si="140"/>
        <v/>
      </c>
      <c r="AB564" s="112" t="str">
        <f t="shared" si="141"/>
        <v/>
      </c>
      <c r="AC564" s="112" t="str">
        <f t="shared" si="142"/>
        <v/>
      </c>
      <c r="AD564" s="112" t="str">
        <f t="shared" si="143"/>
        <v/>
      </c>
    </row>
    <row r="565" spans="1:30" x14ac:dyDescent="0.2">
      <c r="A565" s="112" t="str">
        <f>IF(SUM(Q565:R565)=1,1+MAX($A$1:A564),"")</f>
        <v/>
      </c>
      <c r="B565" s="112">
        <f>IF(SUM(X565:Y565)=1,1+MAX($B$1:B564),"")</f>
        <v>55</v>
      </c>
      <c r="C565" s="112" t="str">
        <f>IF(SUM(Q565:R565,X565:Y565)=2,1+MAX($C$1:C564),"")</f>
        <v/>
      </c>
      <c r="D565" s="113">
        <v>28643</v>
      </c>
      <c r="E565" s="112">
        <v>1978</v>
      </c>
      <c r="F565" s="112" t="s">
        <v>3035</v>
      </c>
      <c r="G565" s="112">
        <v>1</v>
      </c>
      <c r="H565" s="114" t="s">
        <v>1134</v>
      </c>
      <c r="I565" s="112">
        <f t="shared" si="128"/>
        <v>2</v>
      </c>
      <c r="J565" s="112">
        <f t="shared" si="129"/>
        <v>1</v>
      </c>
      <c r="K565" s="115" t="s">
        <v>2725</v>
      </c>
      <c r="L565" s="115" t="s">
        <v>3058</v>
      </c>
      <c r="M565" s="115" t="s">
        <v>3002</v>
      </c>
      <c r="N565" s="115">
        <v>71615</v>
      </c>
      <c r="O565" s="112">
        <v>2</v>
      </c>
      <c r="P565" s="116" t="s">
        <v>2626</v>
      </c>
      <c r="Q565" s="112" t="str">
        <f t="shared" si="130"/>
        <v/>
      </c>
      <c r="R565" s="112" t="str">
        <f t="shared" si="131"/>
        <v/>
      </c>
      <c r="S565" s="112" t="str">
        <f t="shared" si="134"/>
        <v/>
      </c>
      <c r="T565" s="112" t="str">
        <f t="shared" si="135"/>
        <v/>
      </c>
      <c r="U565" s="112" t="str">
        <f t="shared" si="136"/>
        <v/>
      </c>
      <c r="V565" s="112" t="str">
        <f t="shared" si="137"/>
        <v/>
      </c>
      <c r="W565" s="112" t="str">
        <f t="shared" si="138"/>
        <v/>
      </c>
      <c r="X565" s="112">
        <f t="shared" si="132"/>
        <v>1</v>
      </c>
      <c r="Y565" s="112" t="str">
        <f t="shared" si="133"/>
        <v/>
      </c>
      <c r="Z565" s="112">
        <f t="shared" si="139"/>
        <v>1</v>
      </c>
      <c r="AA565" s="112">
        <f t="shared" si="140"/>
        <v>0</v>
      </c>
      <c r="AB565" s="112">
        <f t="shared" si="141"/>
        <v>0</v>
      </c>
      <c r="AC565" s="112">
        <f t="shared" si="142"/>
        <v>3</v>
      </c>
      <c r="AD565" s="112">
        <f t="shared" si="143"/>
        <v>1</v>
      </c>
    </row>
    <row r="566" spans="1:30" x14ac:dyDescent="0.2">
      <c r="A566" s="112" t="str">
        <f>IF(SUM(Q566:R566)=1,1+MAX($A$1:A565),"")</f>
        <v/>
      </c>
      <c r="B566" s="112" t="str">
        <f>IF(SUM(X566:Y566)=1,1+MAX($B$1:B565),"")</f>
        <v/>
      </c>
      <c r="C566" s="112" t="str">
        <f>IF(SUM(Q566:R566,X566:Y566)=2,1+MAX($C$1:C565),"")</f>
        <v/>
      </c>
      <c r="D566" s="113">
        <v>28643</v>
      </c>
      <c r="E566" s="112">
        <v>1978</v>
      </c>
      <c r="F566" s="112" t="s">
        <v>3035</v>
      </c>
      <c r="G566" s="112">
        <v>1</v>
      </c>
      <c r="H566" s="114" t="s">
        <v>2541</v>
      </c>
      <c r="I566" s="112">
        <f t="shared" si="128"/>
        <v>1</v>
      </c>
      <c r="J566" s="112">
        <f t="shared" si="129"/>
        <v>2</v>
      </c>
      <c r="K566" s="115" t="s">
        <v>2674</v>
      </c>
      <c r="L566" s="115" t="s">
        <v>3074</v>
      </c>
      <c r="M566" s="115" t="s">
        <v>3014</v>
      </c>
      <c r="N566" s="115">
        <v>38100</v>
      </c>
      <c r="O566" s="112">
        <v>2</v>
      </c>
      <c r="P566" s="116" t="s">
        <v>2638</v>
      </c>
      <c r="Q566" s="112" t="str">
        <f t="shared" si="130"/>
        <v/>
      </c>
      <c r="R566" s="112" t="str">
        <f t="shared" si="131"/>
        <v/>
      </c>
      <c r="S566" s="112" t="str">
        <f t="shared" si="134"/>
        <v/>
      </c>
      <c r="T566" s="112" t="str">
        <f t="shared" si="135"/>
        <v/>
      </c>
      <c r="U566" s="112" t="str">
        <f t="shared" si="136"/>
        <v/>
      </c>
      <c r="V566" s="112" t="str">
        <f t="shared" si="137"/>
        <v/>
      </c>
      <c r="W566" s="112" t="str">
        <f t="shared" si="138"/>
        <v/>
      </c>
      <c r="X566" s="112" t="str">
        <f t="shared" si="132"/>
        <v/>
      </c>
      <c r="Y566" s="112" t="str">
        <f t="shared" si="133"/>
        <v/>
      </c>
      <c r="Z566" s="112" t="str">
        <f t="shared" si="139"/>
        <v/>
      </c>
      <c r="AA566" s="112" t="str">
        <f t="shared" si="140"/>
        <v/>
      </c>
      <c r="AB566" s="112" t="str">
        <f t="shared" si="141"/>
        <v/>
      </c>
      <c r="AC566" s="112" t="str">
        <f t="shared" si="142"/>
        <v/>
      </c>
      <c r="AD566" s="112" t="str">
        <f t="shared" si="143"/>
        <v/>
      </c>
    </row>
    <row r="567" spans="1:30" x14ac:dyDescent="0.2">
      <c r="A567" s="112" t="str">
        <f>IF(SUM(Q567:R567)=1,1+MAX($A$1:A566),"")</f>
        <v/>
      </c>
      <c r="B567" s="112" t="str">
        <f>IF(SUM(X567:Y567)=1,1+MAX($B$1:B566),"")</f>
        <v/>
      </c>
      <c r="C567" s="112" t="str">
        <f>IF(SUM(Q567:R567,X567:Y567)=2,1+MAX($C$1:C566),"")</f>
        <v/>
      </c>
      <c r="D567" s="113">
        <v>28642</v>
      </c>
      <c r="E567" s="112">
        <v>1978</v>
      </c>
      <c r="F567" s="112" t="s">
        <v>3024</v>
      </c>
      <c r="G567" s="112">
        <v>2</v>
      </c>
      <c r="H567" s="114" t="s">
        <v>2547</v>
      </c>
      <c r="I567" s="112">
        <f t="shared" si="128"/>
        <v>0</v>
      </c>
      <c r="J567" s="112">
        <f t="shared" si="129"/>
        <v>0</v>
      </c>
      <c r="K567" s="115" t="s">
        <v>2544</v>
      </c>
      <c r="L567" s="115" t="s">
        <v>3058</v>
      </c>
      <c r="M567" s="115" t="s">
        <v>3084</v>
      </c>
      <c r="N567" s="115">
        <v>67579</v>
      </c>
      <c r="O567" s="112">
        <v>2</v>
      </c>
      <c r="P567" s="116" t="s">
        <v>2613</v>
      </c>
      <c r="Q567" s="112" t="str">
        <f t="shared" si="130"/>
        <v/>
      </c>
      <c r="R567" s="112" t="str">
        <f t="shared" si="131"/>
        <v/>
      </c>
      <c r="S567" s="112" t="str">
        <f t="shared" si="134"/>
        <v/>
      </c>
      <c r="T567" s="112" t="str">
        <f t="shared" si="135"/>
        <v/>
      </c>
      <c r="U567" s="112" t="str">
        <f t="shared" si="136"/>
        <v/>
      </c>
      <c r="V567" s="112" t="str">
        <f t="shared" si="137"/>
        <v/>
      </c>
      <c r="W567" s="112" t="str">
        <f t="shared" si="138"/>
        <v/>
      </c>
      <c r="X567" s="112" t="str">
        <f t="shared" si="132"/>
        <v/>
      </c>
      <c r="Y567" s="112" t="str">
        <f t="shared" si="133"/>
        <v/>
      </c>
      <c r="Z567" s="112" t="str">
        <f t="shared" si="139"/>
        <v/>
      </c>
      <c r="AA567" s="112" t="str">
        <f t="shared" si="140"/>
        <v/>
      </c>
      <c r="AB567" s="112" t="str">
        <f t="shared" si="141"/>
        <v/>
      </c>
      <c r="AC567" s="112" t="str">
        <f t="shared" si="142"/>
        <v/>
      </c>
      <c r="AD567" s="112" t="str">
        <f t="shared" si="143"/>
        <v/>
      </c>
    </row>
    <row r="568" spans="1:30" x14ac:dyDescent="0.2">
      <c r="A568" s="112" t="str">
        <f>IF(SUM(Q568:R568)=1,1+MAX($A$1:A567),"")</f>
        <v/>
      </c>
      <c r="B568" s="112" t="str">
        <f>IF(SUM(X568:Y568)=1,1+MAX($B$1:B567),"")</f>
        <v/>
      </c>
      <c r="C568" s="112" t="str">
        <f>IF(SUM(Q568:R568,X568:Y568)=2,1+MAX($C$1:C567),"")</f>
        <v/>
      </c>
      <c r="D568" s="113">
        <v>27217</v>
      </c>
      <c r="E568" s="112">
        <v>1974</v>
      </c>
      <c r="F568" s="112" t="s">
        <v>2597</v>
      </c>
      <c r="H568" s="114" t="s">
        <v>2547</v>
      </c>
      <c r="I568" s="112">
        <f t="shared" si="128"/>
        <v>2</v>
      </c>
      <c r="J568" s="112">
        <f t="shared" si="129"/>
        <v>1</v>
      </c>
      <c r="K568" s="115" t="s">
        <v>2604</v>
      </c>
      <c r="L568" s="115" t="s">
        <v>2763</v>
      </c>
      <c r="M568" s="115" t="s">
        <v>3085</v>
      </c>
      <c r="N568" s="115">
        <v>75200</v>
      </c>
      <c r="O568" s="112">
        <v>2</v>
      </c>
      <c r="P568" s="116" t="s">
        <v>2626</v>
      </c>
      <c r="Q568" s="112" t="str">
        <f t="shared" si="130"/>
        <v/>
      </c>
      <c r="R568" s="112" t="str">
        <f t="shared" si="131"/>
        <v/>
      </c>
      <c r="S568" s="112" t="str">
        <f t="shared" si="134"/>
        <v/>
      </c>
      <c r="T568" s="112" t="str">
        <f t="shared" si="135"/>
        <v/>
      </c>
      <c r="U568" s="112" t="str">
        <f t="shared" si="136"/>
        <v/>
      </c>
      <c r="V568" s="112" t="str">
        <f t="shared" si="137"/>
        <v/>
      </c>
      <c r="W568" s="112" t="str">
        <f t="shared" si="138"/>
        <v/>
      </c>
      <c r="X568" s="112" t="str">
        <f t="shared" si="132"/>
        <v/>
      </c>
      <c r="Y568" s="112" t="str">
        <f t="shared" si="133"/>
        <v/>
      </c>
      <c r="Z568" s="112" t="str">
        <f t="shared" si="139"/>
        <v/>
      </c>
      <c r="AA568" s="112" t="str">
        <f t="shared" si="140"/>
        <v/>
      </c>
      <c r="AB568" s="112" t="str">
        <f t="shared" si="141"/>
        <v/>
      </c>
      <c r="AC568" s="112" t="str">
        <f t="shared" si="142"/>
        <v/>
      </c>
      <c r="AD568" s="112" t="str">
        <f t="shared" si="143"/>
        <v/>
      </c>
    </row>
    <row r="569" spans="1:30" x14ac:dyDescent="0.2">
      <c r="A569" s="112" t="str">
        <f>IF(SUM(Q569:R569)=1,1+MAX($A$1:A568),"")</f>
        <v/>
      </c>
      <c r="B569" s="112" t="str">
        <f>IF(SUM(X569:Y569)=1,1+MAX($B$1:B568),"")</f>
        <v/>
      </c>
      <c r="C569" s="112" t="str">
        <f>IF(SUM(Q569:R569,X569:Y569)=2,1+MAX($C$1:C568),"")</f>
        <v/>
      </c>
      <c r="D569" s="113">
        <v>27216</v>
      </c>
      <c r="E569" s="112">
        <v>1974</v>
      </c>
      <c r="F569" s="118" t="s">
        <v>3060</v>
      </c>
      <c r="H569" s="114" t="s">
        <v>1442</v>
      </c>
      <c r="I569" s="112">
        <f t="shared" si="128"/>
        <v>0</v>
      </c>
      <c r="J569" s="112">
        <f t="shared" si="129"/>
        <v>1</v>
      </c>
      <c r="K569" s="115" t="s">
        <v>2544</v>
      </c>
      <c r="L569" s="115" t="s">
        <v>2763</v>
      </c>
      <c r="M569" s="115" t="s">
        <v>3086</v>
      </c>
      <c r="N569" s="115">
        <v>74100</v>
      </c>
      <c r="O569" s="112">
        <v>2</v>
      </c>
      <c r="P569" s="116" t="s">
        <v>2601</v>
      </c>
      <c r="Q569" s="112" t="str">
        <f t="shared" si="130"/>
        <v/>
      </c>
      <c r="R569" s="112" t="str">
        <f t="shared" si="131"/>
        <v/>
      </c>
      <c r="S569" s="112" t="str">
        <f t="shared" si="134"/>
        <v/>
      </c>
      <c r="T569" s="112" t="str">
        <f t="shared" si="135"/>
        <v/>
      </c>
      <c r="U569" s="112" t="str">
        <f t="shared" si="136"/>
        <v/>
      </c>
      <c r="V569" s="112" t="str">
        <f t="shared" si="137"/>
        <v/>
      </c>
      <c r="W569" s="112" t="str">
        <f t="shared" si="138"/>
        <v/>
      </c>
      <c r="X569" s="112" t="str">
        <f t="shared" si="132"/>
        <v/>
      </c>
      <c r="Y569" s="112" t="str">
        <f t="shared" si="133"/>
        <v/>
      </c>
      <c r="Z569" s="112" t="str">
        <f t="shared" si="139"/>
        <v/>
      </c>
      <c r="AA569" s="112" t="str">
        <f t="shared" si="140"/>
        <v/>
      </c>
      <c r="AB569" s="112" t="str">
        <f t="shared" si="141"/>
        <v/>
      </c>
      <c r="AC569" s="112" t="str">
        <f t="shared" si="142"/>
        <v/>
      </c>
      <c r="AD569" s="112" t="str">
        <f t="shared" si="143"/>
        <v/>
      </c>
    </row>
    <row r="570" spans="1:30" x14ac:dyDescent="0.2">
      <c r="A570" s="112" t="str">
        <f>IF(SUM(Q570:R570)=1,1+MAX($A$1:A569),"")</f>
        <v/>
      </c>
      <c r="B570" s="112" t="str">
        <f>IF(SUM(X570:Y570)=1,1+MAX($B$1:B569),"")</f>
        <v/>
      </c>
      <c r="C570" s="112" t="str">
        <f>IF(SUM(Q570:R570,X570:Y570)=2,1+MAX($C$1:C569),"")</f>
        <v/>
      </c>
      <c r="D570" s="113">
        <v>27213</v>
      </c>
      <c r="E570" s="112">
        <v>1974</v>
      </c>
      <c r="F570" s="112" t="s">
        <v>2684</v>
      </c>
      <c r="G570" s="112" t="s">
        <v>2685</v>
      </c>
      <c r="H570" s="114" t="s">
        <v>2549</v>
      </c>
      <c r="I570" s="112">
        <f t="shared" si="128"/>
        <v>2</v>
      </c>
      <c r="J570" s="112">
        <f t="shared" si="129"/>
        <v>1</v>
      </c>
      <c r="K570" s="115" t="s">
        <v>2862</v>
      </c>
      <c r="L570" s="115" t="s">
        <v>3087</v>
      </c>
      <c r="M570" s="115" t="s">
        <v>3088</v>
      </c>
      <c r="N570" s="115">
        <v>4000</v>
      </c>
      <c r="O570" s="112">
        <v>2</v>
      </c>
      <c r="P570" s="116" t="s">
        <v>2626</v>
      </c>
      <c r="Q570" s="112" t="str">
        <f t="shared" si="130"/>
        <v/>
      </c>
      <c r="R570" s="112" t="str">
        <f t="shared" si="131"/>
        <v/>
      </c>
      <c r="S570" s="112" t="str">
        <f t="shared" si="134"/>
        <v/>
      </c>
      <c r="T570" s="112" t="str">
        <f t="shared" si="135"/>
        <v/>
      </c>
      <c r="U570" s="112" t="str">
        <f t="shared" si="136"/>
        <v/>
      </c>
      <c r="V570" s="112" t="str">
        <f t="shared" si="137"/>
        <v/>
      </c>
      <c r="W570" s="112" t="str">
        <f t="shared" si="138"/>
        <v/>
      </c>
      <c r="X570" s="112" t="str">
        <f t="shared" si="132"/>
        <v/>
      </c>
      <c r="Y570" s="112" t="str">
        <f t="shared" si="133"/>
        <v/>
      </c>
      <c r="Z570" s="112" t="str">
        <f t="shared" si="139"/>
        <v/>
      </c>
      <c r="AA570" s="112" t="str">
        <f t="shared" si="140"/>
        <v/>
      </c>
      <c r="AB570" s="112" t="str">
        <f t="shared" si="141"/>
        <v/>
      </c>
      <c r="AC570" s="112" t="str">
        <f t="shared" si="142"/>
        <v/>
      </c>
      <c r="AD570" s="112" t="str">
        <f t="shared" si="143"/>
        <v/>
      </c>
    </row>
    <row r="571" spans="1:30" x14ac:dyDescent="0.2">
      <c r="A571" s="112" t="str">
        <f>IF(SUM(Q571:R571)=1,1+MAX($A$1:A570),"")</f>
        <v/>
      </c>
      <c r="B571" s="112" t="str">
        <f>IF(SUM(X571:Y571)=1,1+MAX($B$1:B570),"")</f>
        <v/>
      </c>
      <c r="C571" s="112" t="str">
        <f>IF(SUM(Q571:R571,X571:Y571)=2,1+MAX($C$1:C570),"")</f>
        <v/>
      </c>
      <c r="D571" s="113">
        <v>27213</v>
      </c>
      <c r="E571" s="112">
        <v>1974</v>
      </c>
      <c r="F571" s="112" t="s">
        <v>2684</v>
      </c>
      <c r="G571" s="112" t="s">
        <v>2685</v>
      </c>
      <c r="H571" s="114" t="s">
        <v>2547</v>
      </c>
      <c r="I571" s="112">
        <f t="shared" si="128"/>
        <v>1</v>
      </c>
      <c r="J571" s="112">
        <f t="shared" si="129"/>
        <v>0</v>
      </c>
      <c r="K571" s="115" t="s">
        <v>2544</v>
      </c>
      <c r="L571" s="115" t="s">
        <v>2769</v>
      </c>
      <c r="M571" s="115" t="s">
        <v>3073</v>
      </c>
      <c r="N571" s="115">
        <v>59000</v>
      </c>
      <c r="O571" s="112">
        <v>2</v>
      </c>
      <c r="P571" s="116" t="s">
        <v>2622</v>
      </c>
      <c r="Q571" s="112" t="str">
        <f t="shared" si="130"/>
        <v/>
      </c>
      <c r="R571" s="112" t="str">
        <f t="shared" si="131"/>
        <v/>
      </c>
      <c r="S571" s="112" t="str">
        <f t="shared" si="134"/>
        <v/>
      </c>
      <c r="T571" s="112" t="str">
        <f t="shared" si="135"/>
        <v/>
      </c>
      <c r="U571" s="112" t="str">
        <f t="shared" si="136"/>
        <v/>
      </c>
      <c r="V571" s="112" t="str">
        <f t="shared" si="137"/>
        <v/>
      </c>
      <c r="W571" s="112" t="str">
        <f t="shared" si="138"/>
        <v/>
      </c>
      <c r="X571" s="112" t="str">
        <f t="shared" si="132"/>
        <v/>
      </c>
      <c r="Y571" s="112" t="str">
        <f t="shared" si="133"/>
        <v/>
      </c>
      <c r="Z571" s="112" t="str">
        <f t="shared" si="139"/>
        <v/>
      </c>
      <c r="AA571" s="112" t="str">
        <f t="shared" si="140"/>
        <v/>
      </c>
      <c r="AB571" s="112" t="str">
        <f t="shared" si="141"/>
        <v/>
      </c>
      <c r="AC571" s="112" t="str">
        <f t="shared" si="142"/>
        <v/>
      </c>
      <c r="AD571" s="112" t="str">
        <f t="shared" si="143"/>
        <v/>
      </c>
    </row>
    <row r="572" spans="1:30" x14ac:dyDescent="0.2">
      <c r="A572" s="112" t="str">
        <f>IF(SUM(Q572:R572)=1,1+MAX($A$1:A571),"")</f>
        <v/>
      </c>
      <c r="B572" s="112" t="str">
        <f>IF(SUM(X572:Y572)=1,1+MAX($B$1:B571),"")</f>
        <v/>
      </c>
      <c r="C572" s="112" t="str">
        <f>IF(SUM(Q572:R572,X572:Y572)=2,1+MAX($C$1:C571),"")</f>
        <v/>
      </c>
      <c r="D572" s="113">
        <v>27213</v>
      </c>
      <c r="E572" s="112">
        <v>1974</v>
      </c>
      <c r="F572" s="112" t="s">
        <v>2689</v>
      </c>
      <c r="G572" s="112" t="s">
        <v>2690</v>
      </c>
      <c r="H572" s="114" t="s">
        <v>1442</v>
      </c>
      <c r="I572" s="112">
        <f t="shared" si="128"/>
        <v>0</v>
      </c>
      <c r="J572" s="112">
        <f t="shared" si="129"/>
        <v>2</v>
      </c>
      <c r="K572" s="115" t="s">
        <v>2604</v>
      </c>
      <c r="L572" s="115" t="s">
        <v>2768</v>
      </c>
      <c r="M572" s="115" t="s">
        <v>3089</v>
      </c>
      <c r="N572" s="115">
        <v>52500</v>
      </c>
      <c r="O572" s="112">
        <v>2</v>
      </c>
      <c r="P572" s="116" t="s">
        <v>2687</v>
      </c>
      <c r="Q572" s="112" t="str">
        <f t="shared" si="130"/>
        <v/>
      </c>
      <c r="R572" s="112" t="str">
        <f t="shared" si="131"/>
        <v/>
      </c>
      <c r="S572" s="112" t="str">
        <f t="shared" si="134"/>
        <v/>
      </c>
      <c r="T572" s="112" t="str">
        <f t="shared" si="135"/>
        <v/>
      </c>
      <c r="U572" s="112" t="str">
        <f t="shared" si="136"/>
        <v/>
      </c>
      <c r="V572" s="112" t="str">
        <f t="shared" si="137"/>
        <v/>
      </c>
      <c r="W572" s="112" t="str">
        <f t="shared" si="138"/>
        <v/>
      </c>
      <c r="X572" s="112" t="str">
        <f t="shared" si="132"/>
        <v/>
      </c>
      <c r="Y572" s="112" t="str">
        <f t="shared" si="133"/>
        <v/>
      </c>
      <c r="Z572" s="112" t="str">
        <f t="shared" si="139"/>
        <v/>
      </c>
      <c r="AA572" s="112" t="str">
        <f t="shared" si="140"/>
        <v/>
      </c>
      <c r="AB572" s="112" t="str">
        <f t="shared" si="141"/>
        <v/>
      </c>
      <c r="AC572" s="112" t="str">
        <f t="shared" si="142"/>
        <v/>
      </c>
      <c r="AD572" s="112" t="str">
        <f t="shared" si="143"/>
        <v/>
      </c>
    </row>
    <row r="573" spans="1:30" x14ac:dyDescent="0.2">
      <c r="A573" s="112" t="str">
        <f>IF(SUM(Q573:R573)=1,1+MAX($A$1:A572),"")</f>
        <v/>
      </c>
      <c r="B573" s="112">
        <f>IF(SUM(X573:Y573)=1,1+MAX($B$1:B572),"")</f>
        <v>56</v>
      </c>
      <c r="C573" s="112" t="str">
        <f>IF(SUM(Q573:R573,X573:Y573)=2,1+MAX($C$1:C572),"")</f>
        <v/>
      </c>
      <c r="D573" s="113">
        <v>27213</v>
      </c>
      <c r="E573" s="112">
        <v>1974</v>
      </c>
      <c r="F573" s="112" t="s">
        <v>2689</v>
      </c>
      <c r="G573" s="112" t="s">
        <v>2690</v>
      </c>
      <c r="H573" s="114" t="s">
        <v>1134</v>
      </c>
      <c r="I573" s="112">
        <f t="shared" si="128"/>
        <v>1</v>
      </c>
      <c r="J573" s="112">
        <f t="shared" si="129"/>
        <v>1</v>
      </c>
      <c r="K573" s="115" t="s">
        <v>2714</v>
      </c>
      <c r="L573" s="115" t="s">
        <v>3090</v>
      </c>
      <c r="M573" s="115" t="s">
        <v>3085</v>
      </c>
      <c r="N573" s="115">
        <v>53054</v>
      </c>
      <c r="O573" s="112">
        <v>2</v>
      </c>
      <c r="P573" s="116" t="s">
        <v>2645</v>
      </c>
      <c r="Q573" s="112" t="str">
        <f t="shared" si="130"/>
        <v/>
      </c>
      <c r="R573" s="112" t="str">
        <f t="shared" si="131"/>
        <v/>
      </c>
      <c r="S573" s="112" t="str">
        <f t="shared" si="134"/>
        <v/>
      </c>
      <c r="T573" s="112" t="str">
        <f t="shared" si="135"/>
        <v/>
      </c>
      <c r="U573" s="112" t="str">
        <f t="shared" si="136"/>
        <v/>
      </c>
      <c r="V573" s="112" t="str">
        <f t="shared" si="137"/>
        <v/>
      </c>
      <c r="W573" s="112" t="str">
        <f t="shared" si="138"/>
        <v/>
      </c>
      <c r="X573" s="112">
        <f t="shared" si="132"/>
        <v>1</v>
      </c>
      <c r="Y573" s="112" t="str">
        <f t="shared" si="133"/>
        <v/>
      </c>
      <c r="Z573" s="112">
        <f t="shared" si="139"/>
        <v>0</v>
      </c>
      <c r="AA573" s="112">
        <f t="shared" si="140"/>
        <v>1</v>
      </c>
      <c r="AB573" s="112">
        <f t="shared" si="141"/>
        <v>0</v>
      </c>
      <c r="AC573" s="112">
        <f t="shared" si="142"/>
        <v>2</v>
      </c>
      <c r="AD573" s="112">
        <f t="shared" si="143"/>
        <v>0</v>
      </c>
    </row>
    <row r="574" spans="1:30" x14ac:dyDescent="0.2">
      <c r="A574" s="112" t="str">
        <f>IF(SUM(Q574:R574)=1,1+MAX($A$1:A573),"")</f>
        <v/>
      </c>
      <c r="B574" s="112" t="str">
        <f>IF(SUM(X574:Y574)=1,1+MAX($B$1:B573),"")</f>
        <v/>
      </c>
      <c r="C574" s="112" t="str">
        <f>IF(SUM(Q574:R574,X574:Y574)=2,1+MAX($C$1:C573),"")</f>
        <v/>
      </c>
      <c r="D574" s="113">
        <v>27210</v>
      </c>
      <c r="E574" s="112">
        <v>1974</v>
      </c>
      <c r="F574" s="112" t="s">
        <v>2684</v>
      </c>
      <c r="G574" s="112" t="s">
        <v>2685</v>
      </c>
      <c r="H574" s="114" t="s">
        <v>2547</v>
      </c>
      <c r="I574" s="112">
        <f t="shared" si="128"/>
        <v>4</v>
      </c>
      <c r="J574" s="112">
        <f t="shared" si="129"/>
        <v>2</v>
      </c>
      <c r="K574" s="115" t="s">
        <v>2549</v>
      </c>
      <c r="L574" s="115" t="s">
        <v>3087</v>
      </c>
      <c r="M574" s="115" t="s">
        <v>3091</v>
      </c>
      <c r="N574" s="115">
        <v>66500</v>
      </c>
      <c r="O574" s="112">
        <v>2</v>
      </c>
      <c r="P574" s="116" t="s">
        <v>2695</v>
      </c>
      <c r="Q574" s="112" t="str">
        <f t="shared" si="130"/>
        <v/>
      </c>
      <c r="R574" s="112" t="str">
        <f t="shared" si="131"/>
        <v/>
      </c>
      <c r="S574" s="112" t="str">
        <f t="shared" si="134"/>
        <v/>
      </c>
      <c r="T574" s="112" t="str">
        <f t="shared" si="135"/>
        <v/>
      </c>
      <c r="U574" s="112" t="str">
        <f t="shared" si="136"/>
        <v/>
      </c>
      <c r="V574" s="112" t="str">
        <f t="shared" si="137"/>
        <v/>
      </c>
      <c r="W574" s="112" t="str">
        <f t="shared" si="138"/>
        <v/>
      </c>
      <c r="X574" s="112" t="str">
        <f t="shared" si="132"/>
        <v/>
      </c>
      <c r="Y574" s="112" t="str">
        <f t="shared" si="133"/>
        <v/>
      </c>
      <c r="Z574" s="112" t="str">
        <f t="shared" si="139"/>
        <v/>
      </c>
      <c r="AA574" s="112" t="str">
        <f t="shared" si="140"/>
        <v/>
      </c>
      <c r="AB574" s="112" t="str">
        <f t="shared" si="141"/>
        <v/>
      </c>
      <c r="AC574" s="112" t="str">
        <f t="shared" si="142"/>
        <v/>
      </c>
      <c r="AD574" s="112" t="str">
        <f t="shared" si="143"/>
        <v/>
      </c>
    </row>
    <row r="575" spans="1:30" x14ac:dyDescent="0.2">
      <c r="A575" s="112" t="str">
        <f>IF(SUM(Q575:R575)=1,1+MAX($A$1:A574),"")</f>
        <v/>
      </c>
      <c r="B575" s="112" t="str">
        <f>IF(SUM(X575:Y575)=1,1+MAX($B$1:B574),"")</f>
        <v/>
      </c>
      <c r="C575" s="112" t="str">
        <f>IF(SUM(Q575:R575,X575:Y575)=2,1+MAX($C$1:C574),"")</f>
        <v/>
      </c>
      <c r="D575" s="113">
        <v>27210</v>
      </c>
      <c r="E575" s="112">
        <v>1974</v>
      </c>
      <c r="F575" s="112" t="s">
        <v>2684</v>
      </c>
      <c r="G575" s="112" t="s">
        <v>2685</v>
      </c>
      <c r="H575" s="114" t="s">
        <v>2544</v>
      </c>
      <c r="I575" s="112">
        <f t="shared" si="128"/>
        <v>2</v>
      </c>
      <c r="J575" s="112">
        <f t="shared" si="129"/>
        <v>1</v>
      </c>
      <c r="K575" s="115" t="s">
        <v>2862</v>
      </c>
      <c r="L575" s="115" t="s">
        <v>2769</v>
      </c>
      <c r="M575" s="115" t="s">
        <v>3092</v>
      </c>
      <c r="N575" s="115">
        <v>55000</v>
      </c>
      <c r="O575" s="112">
        <v>2</v>
      </c>
      <c r="P575" s="116" t="s">
        <v>2626</v>
      </c>
      <c r="Q575" s="112" t="str">
        <f t="shared" si="130"/>
        <v/>
      </c>
      <c r="R575" s="112" t="str">
        <f t="shared" si="131"/>
        <v/>
      </c>
      <c r="S575" s="112" t="str">
        <f t="shared" si="134"/>
        <v/>
      </c>
      <c r="T575" s="112" t="str">
        <f t="shared" si="135"/>
        <v/>
      </c>
      <c r="U575" s="112" t="str">
        <f t="shared" si="136"/>
        <v/>
      </c>
      <c r="V575" s="112" t="str">
        <f t="shared" si="137"/>
        <v/>
      </c>
      <c r="W575" s="112" t="str">
        <f t="shared" si="138"/>
        <v/>
      </c>
      <c r="X575" s="112" t="str">
        <f t="shared" si="132"/>
        <v/>
      </c>
      <c r="Y575" s="112" t="str">
        <f t="shared" si="133"/>
        <v/>
      </c>
      <c r="Z575" s="112" t="str">
        <f t="shared" si="139"/>
        <v/>
      </c>
      <c r="AA575" s="112" t="str">
        <f t="shared" si="140"/>
        <v/>
      </c>
      <c r="AB575" s="112" t="str">
        <f t="shared" si="141"/>
        <v/>
      </c>
      <c r="AC575" s="112" t="str">
        <f t="shared" si="142"/>
        <v/>
      </c>
      <c r="AD575" s="112" t="str">
        <f t="shared" si="143"/>
        <v/>
      </c>
    </row>
    <row r="576" spans="1:30" x14ac:dyDescent="0.2">
      <c r="A576" s="112" t="str">
        <f>IF(SUM(Q576:R576)=1,1+MAX($A$1:A575),"")</f>
        <v/>
      </c>
      <c r="B576" s="112" t="str">
        <f>IF(SUM(X576:Y576)=1,1+MAX($B$1:B575),"")</f>
        <v/>
      </c>
      <c r="C576" s="112" t="str">
        <f>IF(SUM(Q576:R576,X576:Y576)=2,1+MAX($C$1:C575),"")</f>
        <v/>
      </c>
      <c r="D576" s="113">
        <v>27210</v>
      </c>
      <c r="E576" s="112">
        <v>1974</v>
      </c>
      <c r="F576" s="112" t="s">
        <v>2689</v>
      </c>
      <c r="G576" s="112" t="s">
        <v>2690</v>
      </c>
      <c r="H576" s="114" t="s">
        <v>2714</v>
      </c>
      <c r="I576" s="112">
        <f t="shared" si="128"/>
        <v>0</v>
      </c>
      <c r="J576" s="112">
        <f t="shared" si="129"/>
        <v>2</v>
      </c>
      <c r="K576" s="115" t="s">
        <v>2604</v>
      </c>
      <c r="L576" s="115" t="s">
        <v>3090</v>
      </c>
      <c r="M576" s="115" t="s">
        <v>3093</v>
      </c>
      <c r="N576" s="115">
        <v>67148</v>
      </c>
      <c r="O576" s="112">
        <v>2</v>
      </c>
      <c r="P576" s="116" t="s">
        <v>2687</v>
      </c>
      <c r="Q576" s="112" t="str">
        <f t="shared" si="130"/>
        <v/>
      </c>
      <c r="R576" s="112" t="str">
        <f t="shared" si="131"/>
        <v/>
      </c>
      <c r="S576" s="112" t="str">
        <f t="shared" si="134"/>
        <v/>
      </c>
      <c r="T576" s="112" t="str">
        <f t="shared" si="135"/>
        <v/>
      </c>
      <c r="U576" s="112" t="str">
        <f t="shared" si="136"/>
        <v/>
      </c>
      <c r="V576" s="112" t="str">
        <f t="shared" si="137"/>
        <v/>
      </c>
      <c r="W576" s="112" t="str">
        <f t="shared" si="138"/>
        <v/>
      </c>
      <c r="X576" s="112" t="str">
        <f t="shared" si="132"/>
        <v/>
      </c>
      <c r="Y576" s="112" t="str">
        <f t="shared" si="133"/>
        <v/>
      </c>
      <c r="Z576" s="112" t="str">
        <f t="shared" si="139"/>
        <v/>
      </c>
      <c r="AA576" s="112" t="str">
        <f t="shared" si="140"/>
        <v/>
      </c>
      <c r="AB576" s="112" t="str">
        <f t="shared" si="141"/>
        <v/>
      </c>
      <c r="AC576" s="112" t="str">
        <f t="shared" si="142"/>
        <v/>
      </c>
      <c r="AD576" s="112" t="str">
        <f t="shared" si="143"/>
        <v/>
      </c>
    </row>
    <row r="577" spans="1:30" x14ac:dyDescent="0.2">
      <c r="A577" s="112" t="str">
        <f>IF(SUM(Q577:R577)=1,1+MAX($A$1:A576),"")</f>
        <v/>
      </c>
      <c r="B577" s="112">
        <f>IF(SUM(X577:Y577)=1,1+MAX($B$1:B576),"")</f>
        <v>57</v>
      </c>
      <c r="C577" s="112" t="str">
        <f>IF(SUM(Q577:R577,X577:Y577)=2,1+MAX($C$1:C576),"")</f>
        <v/>
      </c>
      <c r="D577" s="113">
        <v>27210</v>
      </c>
      <c r="E577" s="112">
        <v>1974</v>
      </c>
      <c r="F577" s="112" t="s">
        <v>2689</v>
      </c>
      <c r="G577" s="112" t="s">
        <v>2690</v>
      </c>
      <c r="H577" s="114" t="s">
        <v>1134</v>
      </c>
      <c r="I577" s="112">
        <f t="shared" si="128"/>
        <v>1</v>
      </c>
      <c r="J577" s="112">
        <f t="shared" si="129"/>
        <v>2</v>
      </c>
      <c r="K577" s="115" t="s">
        <v>1442</v>
      </c>
      <c r="L577" s="115" t="s">
        <v>2776</v>
      </c>
      <c r="M577" s="115" t="s">
        <v>3094</v>
      </c>
      <c r="N577" s="115">
        <v>38000</v>
      </c>
      <c r="O577" s="112">
        <v>2</v>
      </c>
      <c r="P577" s="116" t="s">
        <v>2638</v>
      </c>
      <c r="Q577" s="112" t="str">
        <f t="shared" si="130"/>
        <v/>
      </c>
      <c r="R577" s="112" t="str">
        <f t="shared" si="131"/>
        <v/>
      </c>
      <c r="S577" s="112" t="str">
        <f t="shared" si="134"/>
        <v/>
      </c>
      <c r="T577" s="112" t="str">
        <f t="shared" si="135"/>
        <v/>
      </c>
      <c r="U577" s="112" t="str">
        <f t="shared" si="136"/>
        <v/>
      </c>
      <c r="V577" s="112" t="str">
        <f t="shared" si="137"/>
        <v/>
      </c>
      <c r="W577" s="112" t="str">
        <f t="shared" si="138"/>
        <v/>
      </c>
      <c r="X577" s="112">
        <f t="shared" si="132"/>
        <v>1</v>
      </c>
      <c r="Y577" s="112" t="str">
        <f t="shared" si="133"/>
        <v/>
      </c>
      <c r="Z577" s="112">
        <f t="shared" si="139"/>
        <v>0</v>
      </c>
      <c r="AA577" s="112">
        <f t="shared" si="140"/>
        <v>0</v>
      </c>
      <c r="AB577" s="112">
        <f t="shared" si="141"/>
        <v>1</v>
      </c>
      <c r="AC577" s="112">
        <f t="shared" si="142"/>
        <v>3</v>
      </c>
      <c r="AD577" s="112">
        <f t="shared" si="143"/>
        <v>-1</v>
      </c>
    </row>
    <row r="578" spans="1:30" x14ac:dyDescent="0.2">
      <c r="A578" s="112" t="str">
        <f>IF(SUM(Q578:R578)=1,1+MAX($A$1:A577),"")</f>
        <v/>
      </c>
      <c r="B578" s="112" t="str">
        <f>IF(SUM(X578:Y578)=1,1+MAX($B$1:B577),"")</f>
        <v/>
      </c>
      <c r="C578" s="112" t="str">
        <f>IF(SUM(Q578:R578,X578:Y578)=2,1+MAX($C$1:C577),"")</f>
        <v/>
      </c>
      <c r="D578" s="113">
        <v>27206</v>
      </c>
      <c r="E578" s="112">
        <v>1974</v>
      </c>
      <c r="F578" s="112" t="s">
        <v>2684</v>
      </c>
      <c r="G578" s="112" t="s">
        <v>2685</v>
      </c>
      <c r="H578" s="114" t="s">
        <v>2544</v>
      </c>
      <c r="I578" s="112">
        <f t="shared" ref="I578:I641" si="144">INT(LEFT(P578,FIND("-",P578)-1))</f>
        <v>1</v>
      </c>
      <c r="J578" s="112">
        <f t="shared" ref="J578:J641" si="145">INT(RIGHT(P578,LEN(P578)-FIND("-",P578)-1))</f>
        <v>0</v>
      </c>
      <c r="K578" s="115" t="s">
        <v>2549</v>
      </c>
      <c r="L578" s="115" t="s">
        <v>2765</v>
      </c>
      <c r="M578" s="115" t="s">
        <v>3069</v>
      </c>
      <c r="N578" s="115">
        <v>43755</v>
      </c>
      <c r="O578" s="112">
        <v>2</v>
      </c>
      <c r="P578" s="116" t="s">
        <v>2622</v>
      </c>
      <c r="Q578" s="112" t="str">
        <f t="shared" ref="Q578:Q641" si="146">IF(H578=team1,1,"")</f>
        <v/>
      </c>
      <c r="R578" s="112" t="str">
        <f t="shared" ref="R578:R641" si="147">IF(K578=team1,1,"")</f>
        <v/>
      </c>
      <c r="S578" s="112" t="str">
        <f t="shared" si="134"/>
        <v/>
      </c>
      <c r="T578" s="112" t="str">
        <f t="shared" si="135"/>
        <v/>
      </c>
      <c r="U578" s="112" t="str">
        <f t="shared" si="136"/>
        <v/>
      </c>
      <c r="V578" s="112" t="str">
        <f t="shared" si="137"/>
        <v/>
      </c>
      <c r="W578" s="112" t="str">
        <f t="shared" si="138"/>
        <v/>
      </c>
      <c r="X578" s="112" t="str">
        <f t="shared" ref="X578:X641" si="148">IF(H578=team2,1,"")</f>
        <v/>
      </c>
      <c r="Y578" s="112" t="str">
        <f t="shared" ref="Y578:Y641" si="149">IF(K578=team2,1,"")</f>
        <v/>
      </c>
      <c r="Z578" s="112" t="str">
        <f t="shared" si="139"/>
        <v/>
      </c>
      <c r="AA578" s="112" t="str">
        <f t="shared" si="140"/>
        <v/>
      </c>
      <c r="AB578" s="112" t="str">
        <f t="shared" si="141"/>
        <v/>
      </c>
      <c r="AC578" s="112" t="str">
        <f t="shared" si="142"/>
        <v/>
      </c>
      <c r="AD578" s="112" t="str">
        <f t="shared" si="143"/>
        <v/>
      </c>
    </row>
    <row r="579" spans="1:30" x14ac:dyDescent="0.2">
      <c r="A579" s="112" t="str">
        <f>IF(SUM(Q579:R579)=1,1+MAX($A$1:A578),"")</f>
        <v/>
      </c>
      <c r="B579" s="112" t="str">
        <f>IF(SUM(X579:Y579)=1,1+MAX($B$1:B578),"")</f>
        <v/>
      </c>
      <c r="C579" s="112" t="str">
        <f>IF(SUM(Q579:R579,X579:Y579)=2,1+MAX($C$1:C578),"")</f>
        <v/>
      </c>
      <c r="D579" s="113">
        <v>27206</v>
      </c>
      <c r="E579" s="112">
        <v>1974</v>
      </c>
      <c r="F579" s="112" t="s">
        <v>2684</v>
      </c>
      <c r="G579" s="112" t="s">
        <v>2685</v>
      </c>
      <c r="H579" s="114" t="s">
        <v>2547</v>
      </c>
      <c r="I579" s="112">
        <f t="shared" si="144"/>
        <v>2</v>
      </c>
      <c r="J579" s="112">
        <f t="shared" si="145"/>
        <v>0</v>
      </c>
      <c r="K579" s="115" t="s">
        <v>2862</v>
      </c>
      <c r="L579" s="115" t="s">
        <v>3087</v>
      </c>
      <c r="M579" s="115" t="s">
        <v>3095</v>
      </c>
      <c r="N579" s="115">
        <v>66085</v>
      </c>
      <c r="O579" s="112">
        <v>2</v>
      </c>
      <c r="P579" s="116" t="s">
        <v>2641</v>
      </c>
      <c r="Q579" s="112" t="str">
        <f t="shared" si="146"/>
        <v/>
      </c>
      <c r="R579" s="112" t="str">
        <f t="shared" si="147"/>
        <v/>
      </c>
      <c r="S579" s="112" t="str">
        <f t="shared" ref="S579:S642" si="150">IF(Q579=1,IF($I579&gt;$J579,1,0),IF(R579=1,IF($I579&lt;$J579,1,0),""))</f>
        <v/>
      </c>
      <c r="T579" s="112" t="str">
        <f t="shared" ref="T579:T642" si="151">IF(Q579=1,IF($I579=$J579,1,0),IF(R579=1,IF($I579=$J579,1,0),""))</f>
        <v/>
      </c>
      <c r="U579" s="112" t="str">
        <f t="shared" ref="U579:U642" si="152">IF(Q579=1,IF($I579&lt;$J579,1,0),IF(R579=1,IF($I579&gt;$J579,1,0),""))</f>
        <v/>
      </c>
      <c r="V579" s="112" t="str">
        <f t="shared" ref="V579:V642" si="153">IF(SUM(Q579:R579)=1,$I579+$J579,"")</f>
        <v/>
      </c>
      <c r="W579" s="112" t="str">
        <f t="shared" ref="W579:W642" si="154">IF(Q579=1,$I579-$J579,IF(R579=1,-($I579-$J579),""))</f>
        <v/>
      </c>
      <c r="X579" s="112" t="str">
        <f t="shared" si="148"/>
        <v/>
      </c>
      <c r="Y579" s="112" t="str">
        <f t="shared" si="149"/>
        <v/>
      </c>
      <c r="Z579" s="112" t="str">
        <f t="shared" ref="Z579:Z642" si="155">IF(X579=1,IF($I579&gt;$J579,1,0),IF(Y579=1,IF($I579&lt;$J579,1,0),""))</f>
        <v/>
      </c>
      <c r="AA579" s="112" t="str">
        <f t="shared" ref="AA579:AA642" si="156">IF(X579=1,IF($I579=$J579,1,0),IF(Y579=1,IF($I579=$J579,1,0),""))</f>
        <v/>
      </c>
      <c r="AB579" s="112" t="str">
        <f t="shared" ref="AB579:AB642" si="157">IF(X579=1,IF($I579&lt;$J579,1,0),IF(Y579=1,IF($I579&gt;$J579,1,0),""))</f>
        <v/>
      </c>
      <c r="AC579" s="112" t="str">
        <f t="shared" ref="AC579:AC642" si="158">IF(SUM(X579:Y579)=1,$I579+$J579,"")</f>
        <v/>
      </c>
      <c r="AD579" s="112" t="str">
        <f t="shared" ref="AD579:AD642" si="159">IF(X579=1,$I579-$J579,IF(Y579=1,-($I579-$J579),""))</f>
        <v/>
      </c>
    </row>
    <row r="580" spans="1:30" x14ac:dyDescent="0.2">
      <c r="A580" s="112" t="str">
        <f>IF(SUM(Q580:R580)=1,1+MAX($A$1:A579),"")</f>
        <v/>
      </c>
      <c r="B580" s="112" t="str">
        <f>IF(SUM(X580:Y580)=1,1+MAX($B$1:B579),"")</f>
        <v/>
      </c>
      <c r="C580" s="112" t="str">
        <f>IF(SUM(Q580:R580,X580:Y580)=2,1+MAX($C$1:C579),"")</f>
        <v/>
      </c>
      <c r="D580" s="113">
        <v>27206</v>
      </c>
      <c r="E580" s="112">
        <v>1974</v>
      </c>
      <c r="F580" s="112" t="s">
        <v>2689</v>
      </c>
      <c r="G580" s="112" t="s">
        <v>2690</v>
      </c>
      <c r="H580" s="114" t="s">
        <v>1442</v>
      </c>
      <c r="I580" s="112">
        <f t="shared" si="144"/>
        <v>1</v>
      </c>
      <c r="J580" s="112">
        <f t="shared" si="145"/>
        <v>0</v>
      </c>
      <c r="K580" s="115" t="s">
        <v>2714</v>
      </c>
      <c r="L580" s="115" t="s">
        <v>2776</v>
      </c>
      <c r="M580" s="115" t="s">
        <v>3083</v>
      </c>
      <c r="N580" s="115">
        <v>58463</v>
      </c>
      <c r="O580" s="112">
        <v>2</v>
      </c>
      <c r="P580" s="116" t="s">
        <v>2622</v>
      </c>
      <c r="Q580" s="112" t="str">
        <f t="shared" si="146"/>
        <v/>
      </c>
      <c r="R580" s="112" t="str">
        <f t="shared" si="147"/>
        <v/>
      </c>
      <c r="S580" s="112" t="str">
        <f t="shared" si="150"/>
        <v/>
      </c>
      <c r="T580" s="112" t="str">
        <f t="shared" si="151"/>
        <v/>
      </c>
      <c r="U580" s="112" t="str">
        <f t="shared" si="152"/>
        <v/>
      </c>
      <c r="V580" s="112" t="str">
        <f t="shared" si="153"/>
        <v/>
      </c>
      <c r="W580" s="112" t="str">
        <f t="shared" si="154"/>
        <v/>
      </c>
      <c r="X580" s="112" t="str">
        <f t="shared" si="148"/>
        <v/>
      </c>
      <c r="Y580" s="112" t="str">
        <f t="shared" si="149"/>
        <v/>
      </c>
      <c r="Z580" s="112" t="str">
        <f t="shared" si="155"/>
        <v/>
      </c>
      <c r="AA580" s="112" t="str">
        <f t="shared" si="156"/>
        <v/>
      </c>
      <c r="AB580" s="112" t="str">
        <f t="shared" si="157"/>
        <v/>
      </c>
      <c r="AC580" s="112" t="str">
        <f t="shared" si="158"/>
        <v/>
      </c>
      <c r="AD580" s="112" t="str">
        <f t="shared" si="159"/>
        <v/>
      </c>
    </row>
    <row r="581" spans="1:30" x14ac:dyDescent="0.2">
      <c r="A581" s="112" t="str">
        <f>IF(SUM(Q581:R581)=1,1+MAX($A$1:A580),"")</f>
        <v/>
      </c>
      <c r="B581" s="112">
        <f>IF(SUM(X581:Y581)=1,1+MAX($B$1:B580),"")</f>
        <v>58</v>
      </c>
      <c r="C581" s="112" t="str">
        <f>IF(SUM(Q581:R581,X581:Y581)=2,1+MAX($C$1:C580),"")</f>
        <v/>
      </c>
      <c r="D581" s="113">
        <v>27206</v>
      </c>
      <c r="E581" s="112">
        <v>1974</v>
      </c>
      <c r="F581" s="112" t="s">
        <v>2689</v>
      </c>
      <c r="G581" s="112" t="s">
        <v>2690</v>
      </c>
      <c r="H581" s="114" t="s">
        <v>1134</v>
      </c>
      <c r="I581" s="112">
        <f t="shared" si="144"/>
        <v>0</v>
      </c>
      <c r="J581" s="112">
        <f t="shared" si="145"/>
        <v>4</v>
      </c>
      <c r="K581" s="115" t="s">
        <v>2604</v>
      </c>
      <c r="L581" s="115" t="s">
        <v>3090</v>
      </c>
      <c r="M581" s="115" t="s">
        <v>3096</v>
      </c>
      <c r="N581" s="115">
        <v>55348</v>
      </c>
      <c r="O581" s="112">
        <v>2</v>
      </c>
      <c r="P581" s="116" t="s">
        <v>2708</v>
      </c>
      <c r="Q581" s="112" t="str">
        <f t="shared" si="146"/>
        <v/>
      </c>
      <c r="R581" s="112" t="str">
        <f t="shared" si="147"/>
        <v/>
      </c>
      <c r="S581" s="112" t="str">
        <f t="shared" si="150"/>
        <v/>
      </c>
      <c r="T581" s="112" t="str">
        <f t="shared" si="151"/>
        <v/>
      </c>
      <c r="U581" s="112" t="str">
        <f t="shared" si="152"/>
        <v/>
      </c>
      <c r="V581" s="112" t="str">
        <f t="shared" si="153"/>
        <v/>
      </c>
      <c r="W581" s="112" t="str">
        <f t="shared" si="154"/>
        <v/>
      </c>
      <c r="X581" s="112">
        <f t="shared" si="148"/>
        <v>1</v>
      </c>
      <c r="Y581" s="112" t="str">
        <f t="shared" si="149"/>
        <v/>
      </c>
      <c r="Z581" s="112">
        <f t="shared" si="155"/>
        <v>0</v>
      </c>
      <c r="AA581" s="112">
        <f t="shared" si="156"/>
        <v>0</v>
      </c>
      <c r="AB581" s="112">
        <f t="shared" si="157"/>
        <v>1</v>
      </c>
      <c r="AC581" s="112">
        <f t="shared" si="158"/>
        <v>4</v>
      </c>
      <c r="AD581" s="112">
        <f t="shared" si="159"/>
        <v>-4</v>
      </c>
    </row>
    <row r="582" spans="1:30" x14ac:dyDescent="0.2">
      <c r="A582" s="112" t="str">
        <f>IF(SUM(Q582:R582)=1,1+MAX($A$1:A581),"")</f>
        <v/>
      </c>
      <c r="B582" s="112">
        <f>IF(SUM(X582:Y582)=1,1+MAX($B$1:B581),"")</f>
        <v>59</v>
      </c>
      <c r="C582" s="112" t="str">
        <f>IF(SUM(Q582:R582,X582:Y582)=2,1+MAX($C$1:C581),"")</f>
        <v/>
      </c>
      <c r="D582" s="113">
        <v>27203</v>
      </c>
      <c r="E582" s="112">
        <v>1974</v>
      </c>
      <c r="F582" s="118" t="s">
        <v>3060</v>
      </c>
      <c r="H582" s="114" t="s">
        <v>1134</v>
      </c>
      <c r="I582" s="112">
        <f t="shared" si="144"/>
        <v>4</v>
      </c>
      <c r="J582" s="112">
        <f t="shared" si="145"/>
        <v>1</v>
      </c>
      <c r="K582" s="115" t="s">
        <v>2671</v>
      </c>
      <c r="L582" s="115" t="s">
        <v>2763</v>
      </c>
      <c r="N582" s="115">
        <v>25900</v>
      </c>
      <c r="O582" s="112">
        <v>2</v>
      </c>
      <c r="P582" s="116" t="s">
        <v>2683</v>
      </c>
      <c r="Q582" s="112" t="str">
        <f t="shared" si="146"/>
        <v/>
      </c>
      <c r="R582" s="112" t="str">
        <f t="shared" si="147"/>
        <v/>
      </c>
      <c r="S582" s="112" t="str">
        <f t="shared" si="150"/>
        <v/>
      </c>
      <c r="T582" s="112" t="str">
        <f t="shared" si="151"/>
        <v/>
      </c>
      <c r="U582" s="112" t="str">
        <f t="shared" si="152"/>
        <v/>
      </c>
      <c r="V582" s="112" t="str">
        <f t="shared" si="153"/>
        <v/>
      </c>
      <c r="W582" s="112" t="str">
        <f t="shared" si="154"/>
        <v/>
      </c>
      <c r="X582" s="112">
        <f t="shared" si="148"/>
        <v>1</v>
      </c>
      <c r="Y582" s="112" t="str">
        <f t="shared" si="149"/>
        <v/>
      </c>
      <c r="Z582" s="112">
        <f t="shared" si="155"/>
        <v>1</v>
      </c>
      <c r="AA582" s="112">
        <f t="shared" si="156"/>
        <v>0</v>
      </c>
      <c r="AB582" s="112">
        <f t="shared" si="157"/>
        <v>0</v>
      </c>
      <c r="AC582" s="112">
        <f t="shared" si="158"/>
        <v>5</v>
      </c>
      <c r="AD582" s="112">
        <f t="shared" si="159"/>
        <v>3</v>
      </c>
    </row>
    <row r="583" spans="1:30" x14ac:dyDescent="0.2">
      <c r="A583" s="112" t="str">
        <f>IF(SUM(Q583:R583)=1,1+MAX($A$1:A582),"")</f>
        <v/>
      </c>
      <c r="B583" s="112" t="str">
        <f>IF(SUM(X583:Y583)=1,1+MAX($B$1:B582),"")</f>
        <v/>
      </c>
      <c r="C583" s="112" t="str">
        <f>IF(SUM(Q583:R583,X583:Y583)=2,1+MAX($C$1:C582),"")</f>
        <v/>
      </c>
      <c r="D583" s="113">
        <v>27203</v>
      </c>
      <c r="E583" s="112">
        <v>1974</v>
      </c>
      <c r="F583" s="118" t="s">
        <v>3060</v>
      </c>
      <c r="H583" s="114" t="s">
        <v>2674</v>
      </c>
      <c r="I583" s="112">
        <f t="shared" si="144"/>
        <v>1</v>
      </c>
      <c r="J583" s="112">
        <f t="shared" si="145"/>
        <v>2</v>
      </c>
      <c r="K583" s="115" t="s">
        <v>2544</v>
      </c>
      <c r="L583" s="115" t="s">
        <v>2765</v>
      </c>
      <c r="N583" s="115">
        <v>70100</v>
      </c>
      <c r="O583" s="112">
        <v>1</v>
      </c>
      <c r="P583" s="116" t="s">
        <v>2638</v>
      </c>
      <c r="Q583" s="112" t="str">
        <f t="shared" si="146"/>
        <v/>
      </c>
      <c r="R583" s="112" t="str">
        <f t="shared" si="147"/>
        <v/>
      </c>
      <c r="S583" s="112" t="str">
        <f t="shared" si="150"/>
        <v/>
      </c>
      <c r="T583" s="112" t="str">
        <f t="shared" si="151"/>
        <v/>
      </c>
      <c r="U583" s="112" t="str">
        <f t="shared" si="152"/>
        <v/>
      </c>
      <c r="V583" s="112" t="str">
        <f t="shared" si="153"/>
        <v/>
      </c>
      <c r="W583" s="112" t="str">
        <f t="shared" si="154"/>
        <v/>
      </c>
      <c r="X583" s="112" t="str">
        <f t="shared" si="148"/>
        <v/>
      </c>
      <c r="Y583" s="112" t="str">
        <f t="shared" si="149"/>
        <v/>
      </c>
      <c r="Z583" s="112" t="str">
        <f t="shared" si="155"/>
        <v/>
      </c>
      <c r="AA583" s="112" t="str">
        <f t="shared" si="156"/>
        <v/>
      </c>
      <c r="AB583" s="112" t="str">
        <f t="shared" si="157"/>
        <v/>
      </c>
      <c r="AC583" s="112" t="str">
        <f t="shared" si="158"/>
        <v/>
      </c>
      <c r="AD583" s="112" t="str">
        <f t="shared" si="159"/>
        <v/>
      </c>
    </row>
    <row r="584" spans="1:30" x14ac:dyDescent="0.2">
      <c r="A584" s="112" t="str">
        <f>IF(SUM(Q584:R584)=1,1+MAX($A$1:A583),"")</f>
        <v/>
      </c>
      <c r="B584" s="112" t="str">
        <f>IF(SUM(X584:Y584)=1,1+MAX($B$1:B583),"")</f>
        <v/>
      </c>
      <c r="C584" s="112" t="str">
        <f>IF(SUM(Q584:R584,X584:Y584)=2,1+MAX($C$1:C583),"")</f>
        <v/>
      </c>
      <c r="D584" s="113">
        <v>27203</v>
      </c>
      <c r="E584" s="112">
        <v>1974</v>
      </c>
      <c r="F584" s="118" t="s">
        <v>3060</v>
      </c>
      <c r="H584" s="114" t="s">
        <v>2549</v>
      </c>
      <c r="I584" s="112">
        <f t="shared" si="144"/>
        <v>3</v>
      </c>
      <c r="J584" s="112">
        <f t="shared" si="145"/>
        <v>0</v>
      </c>
      <c r="K584" s="115" t="s">
        <v>2540</v>
      </c>
      <c r="L584" s="115" t="s">
        <v>3087</v>
      </c>
      <c r="N584" s="115">
        <v>28300</v>
      </c>
      <c r="O584" s="112">
        <v>2</v>
      </c>
      <c r="P584" s="116" t="s">
        <v>2713</v>
      </c>
      <c r="Q584" s="112" t="str">
        <f t="shared" si="146"/>
        <v/>
      </c>
      <c r="R584" s="112" t="str">
        <f t="shared" si="147"/>
        <v/>
      </c>
      <c r="S584" s="112" t="str">
        <f t="shared" si="150"/>
        <v/>
      </c>
      <c r="T584" s="112" t="str">
        <f t="shared" si="151"/>
        <v/>
      </c>
      <c r="U584" s="112" t="str">
        <f t="shared" si="152"/>
        <v/>
      </c>
      <c r="V584" s="112" t="str">
        <f t="shared" si="153"/>
        <v/>
      </c>
      <c r="W584" s="112" t="str">
        <f t="shared" si="154"/>
        <v/>
      </c>
      <c r="X584" s="112" t="str">
        <f t="shared" si="148"/>
        <v/>
      </c>
      <c r="Y584" s="112" t="str">
        <f t="shared" si="149"/>
        <v/>
      </c>
      <c r="Z584" s="112" t="str">
        <f t="shared" si="155"/>
        <v/>
      </c>
      <c r="AA584" s="112" t="str">
        <f t="shared" si="156"/>
        <v/>
      </c>
      <c r="AB584" s="112" t="str">
        <f t="shared" si="157"/>
        <v/>
      </c>
      <c r="AC584" s="112" t="str">
        <f t="shared" si="158"/>
        <v/>
      </c>
      <c r="AD584" s="112" t="str">
        <f t="shared" si="159"/>
        <v/>
      </c>
    </row>
    <row r="585" spans="1:30" x14ac:dyDescent="0.2">
      <c r="A585" s="112" t="str">
        <f>IF(SUM(Q585:R585)=1,1+MAX($A$1:A584),"")</f>
        <v/>
      </c>
      <c r="B585" s="112" t="str">
        <f>IF(SUM(X585:Y585)=1,1+MAX($B$1:B584),"")</f>
        <v/>
      </c>
      <c r="C585" s="112" t="str">
        <f>IF(SUM(Q585:R585,X585:Y585)=2,1+MAX($C$1:C584),"")</f>
        <v/>
      </c>
      <c r="D585" s="113">
        <v>27203</v>
      </c>
      <c r="E585" s="112">
        <v>1974</v>
      </c>
      <c r="F585" s="118" t="s">
        <v>3060</v>
      </c>
      <c r="H585" s="114" t="s">
        <v>2631</v>
      </c>
      <c r="I585" s="112">
        <f t="shared" si="144"/>
        <v>1</v>
      </c>
      <c r="J585" s="112">
        <f t="shared" si="145"/>
        <v>4</v>
      </c>
      <c r="K585" s="115" t="s">
        <v>2604</v>
      </c>
      <c r="L585" s="115" t="s">
        <v>2768</v>
      </c>
      <c r="N585" s="115">
        <v>53300</v>
      </c>
      <c r="O585" s="112">
        <v>1</v>
      </c>
      <c r="P585" s="116" t="s">
        <v>2743</v>
      </c>
      <c r="Q585" s="112" t="str">
        <f t="shared" si="146"/>
        <v/>
      </c>
      <c r="R585" s="112" t="str">
        <f t="shared" si="147"/>
        <v/>
      </c>
      <c r="S585" s="112" t="str">
        <f t="shared" si="150"/>
        <v/>
      </c>
      <c r="T585" s="112" t="str">
        <f t="shared" si="151"/>
        <v/>
      </c>
      <c r="U585" s="112" t="str">
        <f t="shared" si="152"/>
        <v/>
      </c>
      <c r="V585" s="112" t="str">
        <f t="shared" si="153"/>
        <v/>
      </c>
      <c r="W585" s="112" t="str">
        <f t="shared" si="154"/>
        <v/>
      </c>
      <c r="X585" s="112" t="str">
        <f t="shared" si="148"/>
        <v/>
      </c>
      <c r="Y585" s="112" t="str">
        <f t="shared" si="149"/>
        <v/>
      </c>
      <c r="Z585" s="112" t="str">
        <f t="shared" si="155"/>
        <v/>
      </c>
      <c r="AA585" s="112" t="str">
        <f t="shared" si="156"/>
        <v/>
      </c>
      <c r="AB585" s="112" t="str">
        <f t="shared" si="157"/>
        <v/>
      </c>
      <c r="AC585" s="112" t="str">
        <f t="shared" si="158"/>
        <v/>
      </c>
      <c r="AD585" s="112" t="str">
        <f t="shared" si="159"/>
        <v/>
      </c>
    </row>
    <row r="586" spans="1:30" x14ac:dyDescent="0.2">
      <c r="A586" s="112" t="str">
        <f>IF(SUM(Q586:R586)=1,1+MAX($A$1:A585),"")</f>
        <v/>
      </c>
      <c r="B586" s="112" t="str">
        <f>IF(SUM(X586:Y586)=1,1+MAX($B$1:B585),"")</f>
        <v/>
      </c>
      <c r="C586" s="112" t="str">
        <f>IF(SUM(Q586:R586,X586:Y586)=2,1+MAX($C$1:C585),"")</f>
        <v/>
      </c>
      <c r="D586" s="113">
        <v>27202</v>
      </c>
      <c r="E586" s="112">
        <v>1974</v>
      </c>
      <c r="F586" s="118" t="s">
        <v>3060</v>
      </c>
      <c r="H586" s="114" t="s">
        <v>1442</v>
      </c>
      <c r="I586" s="112">
        <f t="shared" si="144"/>
        <v>3</v>
      </c>
      <c r="J586" s="112">
        <f t="shared" si="145"/>
        <v>0</v>
      </c>
      <c r="K586" s="115" t="s">
        <v>2700</v>
      </c>
      <c r="L586" s="115" t="s">
        <v>3090</v>
      </c>
      <c r="N586" s="115">
        <v>36200</v>
      </c>
      <c r="O586" s="112">
        <v>1</v>
      </c>
      <c r="P586" s="116" t="s">
        <v>2713</v>
      </c>
      <c r="Q586" s="112" t="str">
        <f t="shared" si="146"/>
        <v/>
      </c>
      <c r="R586" s="112" t="str">
        <f t="shared" si="147"/>
        <v/>
      </c>
      <c r="S586" s="112" t="str">
        <f t="shared" si="150"/>
        <v/>
      </c>
      <c r="T586" s="112" t="str">
        <f t="shared" si="151"/>
        <v/>
      </c>
      <c r="U586" s="112" t="str">
        <f t="shared" si="152"/>
        <v/>
      </c>
      <c r="V586" s="112" t="str">
        <f t="shared" si="153"/>
        <v/>
      </c>
      <c r="W586" s="112" t="str">
        <f t="shared" si="154"/>
        <v/>
      </c>
      <c r="X586" s="112" t="str">
        <f t="shared" si="148"/>
        <v/>
      </c>
      <c r="Y586" s="112" t="str">
        <f t="shared" si="149"/>
        <v/>
      </c>
      <c r="Z586" s="112" t="str">
        <f t="shared" si="155"/>
        <v/>
      </c>
      <c r="AA586" s="112" t="str">
        <f t="shared" si="156"/>
        <v/>
      </c>
      <c r="AB586" s="112" t="str">
        <f t="shared" si="157"/>
        <v/>
      </c>
      <c r="AC586" s="112" t="str">
        <f t="shared" si="158"/>
        <v/>
      </c>
      <c r="AD586" s="112" t="str">
        <f t="shared" si="159"/>
        <v/>
      </c>
    </row>
    <row r="587" spans="1:30" x14ac:dyDescent="0.2">
      <c r="A587" s="112" t="str">
        <f>IF(SUM(Q587:R587)=1,1+MAX($A$1:A586),"")</f>
        <v/>
      </c>
      <c r="B587" s="112" t="str">
        <f>IF(SUM(X587:Y587)=1,1+MAX($B$1:B586),"")</f>
        <v/>
      </c>
      <c r="C587" s="112" t="str">
        <f>IF(SUM(Q587:R587,X587:Y587)=2,1+MAX($C$1:C586),"")</f>
        <v/>
      </c>
      <c r="D587" s="113">
        <v>27202</v>
      </c>
      <c r="E587" s="112">
        <v>1974</v>
      </c>
      <c r="F587" s="118" t="s">
        <v>3060</v>
      </c>
      <c r="H587" s="114" t="s">
        <v>2717</v>
      </c>
      <c r="I587" s="112">
        <f t="shared" si="144"/>
        <v>1</v>
      </c>
      <c r="J587" s="112">
        <f t="shared" si="145"/>
        <v>1</v>
      </c>
      <c r="K587" s="115" t="s">
        <v>2862</v>
      </c>
      <c r="L587" s="115" t="s">
        <v>3097</v>
      </c>
      <c r="N587" s="115">
        <v>56000</v>
      </c>
      <c r="O587" s="112">
        <v>1</v>
      </c>
      <c r="P587" s="116" t="s">
        <v>2645</v>
      </c>
      <c r="Q587" s="112" t="str">
        <f t="shared" si="146"/>
        <v/>
      </c>
      <c r="R587" s="112" t="str">
        <f t="shared" si="147"/>
        <v/>
      </c>
      <c r="S587" s="112" t="str">
        <f t="shared" si="150"/>
        <v/>
      </c>
      <c r="T587" s="112" t="str">
        <f t="shared" si="151"/>
        <v/>
      </c>
      <c r="U587" s="112" t="str">
        <f t="shared" si="152"/>
        <v/>
      </c>
      <c r="V587" s="112" t="str">
        <f t="shared" si="153"/>
        <v/>
      </c>
      <c r="W587" s="112" t="str">
        <f t="shared" si="154"/>
        <v/>
      </c>
      <c r="X587" s="112" t="str">
        <f t="shared" si="148"/>
        <v/>
      </c>
      <c r="Y587" s="112" t="str">
        <f t="shared" si="149"/>
        <v/>
      </c>
      <c r="Z587" s="112" t="str">
        <f t="shared" si="155"/>
        <v/>
      </c>
      <c r="AA587" s="112" t="str">
        <f t="shared" si="156"/>
        <v/>
      </c>
      <c r="AB587" s="112" t="str">
        <f t="shared" si="157"/>
        <v/>
      </c>
      <c r="AC587" s="112" t="str">
        <f t="shared" si="158"/>
        <v/>
      </c>
      <c r="AD587" s="112" t="str">
        <f t="shared" si="159"/>
        <v/>
      </c>
    </row>
    <row r="588" spans="1:30" x14ac:dyDescent="0.2">
      <c r="A588" s="112" t="str">
        <f>IF(SUM(Q588:R588)=1,1+MAX($A$1:A587),"")</f>
        <v/>
      </c>
      <c r="B588" s="112" t="str">
        <f>IF(SUM(X588:Y588)=1,1+MAX($B$1:B587),"")</f>
        <v/>
      </c>
      <c r="C588" s="112" t="str">
        <f>IF(SUM(Q588:R588,X588:Y588)=2,1+MAX($C$1:C587),"")</f>
        <v/>
      </c>
      <c r="D588" s="113">
        <v>27202</v>
      </c>
      <c r="E588" s="112">
        <v>1974</v>
      </c>
      <c r="F588" s="118" t="s">
        <v>3060</v>
      </c>
      <c r="H588" s="114" t="s">
        <v>2714</v>
      </c>
      <c r="I588" s="112">
        <f t="shared" si="144"/>
        <v>1</v>
      </c>
      <c r="J588" s="112">
        <f t="shared" si="145"/>
        <v>0</v>
      </c>
      <c r="K588" s="115" t="s">
        <v>2547</v>
      </c>
      <c r="L588" s="115" t="s">
        <v>2774</v>
      </c>
      <c r="N588" s="115">
        <v>60200</v>
      </c>
      <c r="O588" s="112">
        <v>1</v>
      </c>
      <c r="P588" s="116" t="s">
        <v>2622</v>
      </c>
      <c r="Q588" s="112" t="str">
        <f t="shared" si="146"/>
        <v/>
      </c>
      <c r="R588" s="112" t="str">
        <f t="shared" si="147"/>
        <v/>
      </c>
      <c r="S588" s="112" t="str">
        <f t="shared" si="150"/>
        <v/>
      </c>
      <c r="T588" s="112" t="str">
        <f t="shared" si="151"/>
        <v/>
      </c>
      <c r="U588" s="112" t="str">
        <f t="shared" si="152"/>
        <v/>
      </c>
      <c r="V588" s="112" t="str">
        <f t="shared" si="153"/>
        <v/>
      </c>
      <c r="W588" s="112" t="str">
        <f t="shared" si="154"/>
        <v/>
      </c>
      <c r="X588" s="112" t="str">
        <f t="shared" si="148"/>
        <v/>
      </c>
      <c r="Y588" s="112" t="str">
        <f t="shared" si="149"/>
        <v/>
      </c>
      <c r="Z588" s="112" t="str">
        <f t="shared" si="155"/>
        <v/>
      </c>
      <c r="AA588" s="112" t="str">
        <f t="shared" si="156"/>
        <v/>
      </c>
      <c r="AB588" s="112" t="str">
        <f t="shared" si="157"/>
        <v/>
      </c>
      <c r="AC588" s="112" t="str">
        <f t="shared" si="158"/>
        <v/>
      </c>
      <c r="AD588" s="112" t="str">
        <f t="shared" si="159"/>
        <v/>
      </c>
    </row>
    <row r="589" spans="1:30" x14ac:dyDescent="0.2">
      <c r="A589" s="112" t="str">
        <f>IF(SUM(Q589:R589)=1,1+MAX($A$1:A588),"")</f>
        <v/>
      </c>
      <c r="B589" s="112" t="str">
        <f>IF(SUM(X589:Y589)=1,1+MAX($B$1:B588),"")</f>
        <v/>
      </c>
      <c r="C589" s="112" t="str">
        <f>IF(SUM(Q589:R589,X589:Y589)=2,1+MAX($C$1:C588),"")</f>
        <v/>
      </c>
      <c r="D589" s="113">
        <v>27202</v>
      </c>
      <c r="E589" s="112">
        <v>1974</v>
      </c>
      <c r="F589" s="118" t="s">
        <v>3060</v>
      </c>
      <c r="H589" s="114" t="s">
        <v>1317</v>
      </c>
      <c r="I589" s="112">
        <f t="shared" si="144"/>
        <v>0</v>
      </c>
      <c r="J589" s="112">
        <f t="shared" si="145"/>
        <v>0</v>
      </c>
      <c r="K589" s="115" t="s">
        <v>2650</v>
      </c>
      <c r="L589" s="115" t="s">
        <v>2763</v>
      </c>
      <c r="N589" s="115">
        <v>17400</v>
      </c>
      <c r="O589" s="112">
        <v>1</v>
      </c>
      <c r="P589" s="116" t="s">
        <v>2613</v>
      </c>
      <c r="Q589" s="112" t="str">
        <f t="shared" si="146"/>
        <v/>
      </c>
      <c r="R589" s="112" t="str">
        <f t="shared" si="147"/>
        <v/>
      </c>
      <c r="S589" s="112" t="str">
        <f t="shared" si="150"/>
        <v/>
      </c>
      <c r="T589" s="112" t="str">
        <f t="shared" si="151"/>
        <v/>
      </c>
      <c r="U589" s="112" t="str">
        <f t="shared" si="152"/>
        <v/>
      </c>
      <c r="V589" s="112" t="str">
        <f t="shared" si="153"/>
        <v/>
      </c>
      <c r="W589" s="112" t="str">
        <f t="shared" si="154"/>
        <v/>
      </c>
      <c r="X589" s="112" t="str">
        <f t="shared" si="148"/>
        <v/>
      </c>
      <c r="Y589" s="112" t="str">
        <f t="shared" si="149"/>
        <v/>
      </c>
      <c r="Z589" s="112" t="str">
        <f t="shared" si="155"/>
        <v/>
      </c>
      <c r="AA589" s="112" t="str">
        <f t="shared" si="156"/>
        <v/>
      </c>
      <c r="AB589" s="112" t="str">
        <f t="shared" si="157"/>
        <v/>
      </c>
      <c r="AC589" s="112" t="str">
        <f t="shared" si="158"/>
        <v/>
      </c>
      <c r="AD589" s="112" t="str">
        <f t="shared" si="159"/>
        <v/>
      </c>
    </row>
    <row r="590" spans="1:30" x14ac:dyDescent="0.2">
      <c r="A590" s="112" t="str">
        <f>IF(SUM(Q590:R590)=1,1+MAX($A$1:A589),"")</f>
        <v/>
      </c>
      <c r="B590" s="112" t="str">
        <f>IF(SUM(X590:Y590)=1,1+MAX($B$1:B589),"")</f>
        <v/>
      </c>
      <c r="C590" s="112" t="str">
        <f>IF(SUM(Q590:R590,X590:Y590)=2,1+MAX($C$1:C589),"")</f>
        <v/>
      </c>
      <c r="D590" s="113">
        <v>27199</v>
      </c>
      <c r="E590" s="112">
        <v>1974</v>
      </c>
      <c r="F590" s="118" t="s">
        <v>3060</v>
      </c>
      <c r="H590" s="114" t="s">
        <v>2671</v>
      </c>
      <c r="I590" s="112">
        <f t="shared" si="144"/>
        <v>0</v>
      </c>
      <c r="J590" s="112">
        <f t="shared" si="145"/>
        <v>7</v>
      </c>
      <c r="K590" s="115" t="s">
        <v>2544</v>
      </c>
      <c r="L590" s="115" t="s">
        <v>2763</v>
      </c>
      <c r="N590" s="115">
        <v>25300</v>
      </c>
      <c r="O590" s="112">
        <v>2</v>
      </c>
      <c r="P590" s="116" t="s">
        <v>2754</v>
      </c>
      <c r="Q590" s="112" t="str">
        <f t="shared" si="146"/>
        <v/>
      </c>
      <c r="R590" s="112" t="str">
        <f t="shared" si="147"/>
        <v/>
      </c>
      <c r="S590" s="112" t="str">
        <f t="shared" si="150"/>
        <v/>
      </c>
      <c r="T590" s="112" t="str">
        <f t="shared" si="151"/>
        <v/>
      </c>
      <c r="U590" s="112" t="str">
        <f t="shared" si="152"/>
        <v/>
      </c>
      <c r="V590" s="112" t="str">
        <f t="shared" si="153"/>
        <v/>
      </c>
      <c r="W590" s="112" t="str">
        <f t="shared" si="154"/>
        <v/>
      </c>
      <c r="X590" s="112" t="str">
        <f t="shared" si="148"/>
        <v/>
      </c>
      <c r="Y590" s="112" t="str">
        <f t="shared" si="149"/>
        <v/>
      </c>
      <c r="Z590" s="112" t="str">
        <f t="shared" si="155"/>
        <v/>
      </c>
      <c r="AA590" s="112" t="str">
        <f t="shared" si="156"/>
        <v/>
      </c>
      <c r="AB590" s="112" t="str">
        <f t="shared" si="157"/>
        <v/>
      </c>
      <c r="AC590" s="112" t="str">
        <f t="shared" si="158"/>
        <v/>
      </c>
      <c r="AD590" s="112" t="str">
        <f t="shared" si="159"/>
        <v/>
      </c>
    </row>
    <row r="591" spans="1:30" x14ac:dyDescent="0.2">
      <c r="A591" s="112" t="str">
        <f>IF(SUM(Q591:R591)=1,1+MAX($A$1:A590),"")</f>
        <v/>
      </c>
      <c r="B591" s="112">
        <f>IF(SUM(X591:Y591)=1,1+MAX($B$1:B590),"")</f>
        <v>60</v>
      </c>
      <c r="C591" s="112" t="str">
        <f>IF(SUM(Q591:R591,X591:Y591)=2,1+MAX($C$1:C590),"")</f>
        <v/>
      </c>
      <c r="D591" s="113">
        <v>27199</v>
      </c>
      <c r="E591" s="112">
        <v>1974</v>
      </c>
      <c r="F591" s="118" t="s">
        <v>3060</v>
      </c>
      <c r="H591" s="114" t="s">
        <v>1134</v>
      </c>
      <c r="I591" s="112">
        <f t="shared" si="144"/>
        <v>1</v>
      </c>
      <c r="J591" s="112">
        <f t="shared" si="145"/>
        <v>1</v>
      </c>
      <c r="K591" s="115" t="s">
        <v>2674</v>
      </c>
      <c r="L591" s="115" t="s">
        <v>2765</v>
      </c>
      <c r="N591" s="115">
        <v>70100</v>
      </c>
      <c r="O591" s="112">
        <v>1</v>
      </c>
      <c r="P591" s="116" t="s">
        <v>2645</v>
      </c>
      <c r="Q591" s="112" t="str">
        <f t="shared" si="146"/>
        <v/>
      </c>
      <c r="R591" s="112" t="str">
        <f t="shared" si="147"/>
        <v/>
      </c>
      <c r="S591" s="112" t="str">
        <f t="shared" si="150"/>
        <v/>
      </c>
      <c r="T591" s="112" t="str">
        <f t="shared" si="151"/>
        <v/>
      </c>
      <c r="U591" s="112" t="str">
        <f t="shared" si="152"/>
        <v/>
      </c>
      <c r="V591" s="112" t="str">
        <f t="shared" si="153"/>
        <v/>
      </c>
      <c r="W591" s="112" t="str">
        <f t="shared" si="154"/>
        <v/>
      </c>
      <c r="X591" s="112">
        <f t="shared" si="148"/>
        <v>1</v>
      </c>
      <c r="Y591" s="112" t="str">
        <f t="shared" si="149"/>
        <v/>
      </c>
      <c r="Z591" s="112">
        <f t="shared" si="155"/>
        <v>0</v>
      </c>
      <c r="AA591" s="112">
        <f t="shared" si="156"/>
        <v>1</v>
      </c>
      <c r="AB591" s="112">
        <f t="shared" si="157"/>
        <v>0</v>
      </c>
      <c r="AC591" s="112">
        <f t="shared" si="158"/>
        <v>2</v>
      </c>
      <c r="AD591" s="112">
        <f t="shared" si="159"/>
        <v>0</v>
      </c>
    </row>
    <row r="592" spans="1:30" x14ac:dyDescent="0.2">
      <c r="A592" s="112" t="str">
        <f>IF(SUM(Q592:R592)=1,1+MAX($A$1:A591),"")</f>
        <v/>
      </c>
      <c r="B592" s="112" t="str">
        <f>IF(SUM(X592:Y592)=1,1+MAX($B$1:B591),"")</f>
        <v/>
      </c>
      <c r="C592" s="112" t="str">
        <f>IF(SUM(Q592:R592,X592:Y592)=2,1+MAX($C$1:C591),"")</f>
        <v/>
      </c>
      <c r="D592" s="113">
        <v>27199</v>
      </c>
      <c r="E592" s="112">
        <v>1974</v>
      </c>
      <c r="F592" s="118" t="s">
        <v>3060</v>
      </c>
      <c r="H592" s="114" t="s">
        <v>2631</v>
      </c>
      <c r="I592" s="112">
        <f t="shared" si="144"/>
        <v>1</v>
      </c>
      <c r="J592" s="112">
        <f t="shared" si="145"/>
        <v>1</v>
      </c>
      <c r="K592" s="115" t="s">
        <v>2540</v>
      </c>
      <c r="L592" s="115" t="s">
        <v>2776</v>
      </c>
      <c r="N592" s="115">
        <v>13400</v>
      </c>
      <c r="O592" s="112">
        <v>2</v>
      </c>
      <c r="P592" s="116" t="s">
        <v>2645</v>
      </c>
      <c r="Q592" s="112" t="str">
        <f t="shared" si="146"/>
        <v/>
      </c>
      <c r="R592" s="112" t="str">
        <f t="shared" si="147"/>
        <v/>
      </c>
      <c r="S592" s="112" t="str">
        <f t="shared" si="150"/>
        <v/>
      </c>
      <c r="T592" s="112" t="str">
        <f t="shared" si="151"/>
        <v/>
      </c>
      <c r="U592" s="112" t="str">
        <f t="shared" si="152"/>
        <v/>
      </c>
      <c r="V592" s="112" t="str">
        <f t="shared" si="153"/>
        <v/>
      </c>
      <c r="W592" s="112" t="str">
        <f t="shared" si="154"/>
        <v/>
      </c>
      <c r="X592" s="112" t="str">
        <f t="shared" si="148"/>
        <v/>
      </c>
      <c r="Y592" s="112" t="str">
        <f t="shared" si="149"/>
        <v/>
      </c>
      <c r="Z592" s="112" t="str">
        <f t="shared" si="155"/>
        <v/>
      </c>
      <c r="AA592" s="112" t="str">
        <f t="shared" si="156"/>
        <v/>
      </c>
      <c r="AB592" s="112" t="str">
        <f t="shared" si="157"/>
        <v/>
      </c>
      <c r="AC592" s="112" t="str">
        <f t="shared" si="158"/>
        <v/>
      </c>
      <c r="AD592" s="112" t="str">
        <f t="shared" si="159"/>
        <v/>
      </c>
    </row>
    <row r="593" spans="1:30" x14ac:dyDescent="0.2">
      <c r="A593" s="112" t="str">
        <f>IF(SUM(Q593:R593)=1,1+MAX($A$1:A592),"")</f>
        <v/>
      </c>
      <c r="B593" s="112" t="str">
        <f>IF(SUM(X593:Y593)=1,1+MAX($B$1:B592),"")</f>
        <v/>
      </c>
      <c r="C593" s="112" t="str">
        <f>IF(SUM(Q593:R593,X593:Y593)=2,1+MAX($C$1:C592),"")</f>
        <v/>
      </c>
      <c r="D593" s="113">
        <v>27199</v>
      </c>
      <c r="E593" s="112">
        <v>1974</v>
      </c>
      <c r="F593" s="118" t="s">
        <v>3060</v>
      </c>
      <c r="H593" s="114" t="s">
        <v>2604</v>
      </c>
      <c r="I593" s="112">
        <f t="shared" si="144"/>
        <v>0</v>
      </c>
      <c r="J593" s="112">
        <f t="shared" si="145"/>
        <v>0</v>
      </c>
      <c r="K593" s="115" t="s">
        <v>2549</v>
      </c>
      <c r="L593" s="115" t="s">
        <v>2768</v>
      </c>
      <c r="N593" s="115">
        <v>53700</v>
      </c>
      <c r="O593" s="112">
        <v>1</v>
      </c>
      <c r="P593" s="116" t="s">
        <v>2613</v>
      </c>
      <c r="Q593" s="112" t="str">
        <f t="shared" si="146"/>
        <v/>
      </c>
      <c r="R593" s="112" t="str">
        <f t="shared" si="147"/>
        <v/>
      </c>
      <c r="S593" s="112" t="str">
        <f t="shared" si="150"/>
        <v/>
      </c>
      <c r="T593" s="112" t="str">
        <f t="shared" si="151"/>
        <v/>
      </c>
      <c r="U593" s="112" t="str">
        <f t="shared" si="152"/>
        <v/>
      </c>
      <c r="V593" s="112" t="str">
        <f t="shared" si="153"/>
        <v/>
      </c>
      <c r="W593" s="112" t="str">
        <f t="shared" si="154"/>
        <v/>
      </c>
      <c r="X593" s="112" t="str">
        <f t="shared" si="148"/>
        <v/>
      </c>
      <c r="Y593" s="112" t="str">
        <f t="shared" si="149"/>
        <v/>
      </c>
      <c r="Z593" s="112" t="str">
        <f t="shared" si="155"/>
        <v/>
      </c>
      <c r="AA593" s="112" t="str">
        <f t="shared" si="156"/>
        <v/>
      </c>
      <c r="AB593" s="112" t="str">
        <f t="shared" si="157"/>
        <v/>
      </c>
      <c r="AC593" s="112" t="str">
        <f t="shared" si="158"/>
        <v/>
      </c>
      <c r="AD593" s="112" t="str">
        <f t="shared" si="159"/>
        <v/>
      </c>
    </row>
    <row r="594" spans="1:30" x14ac:dyDescent="0.2">
      <c r="A594" s="112" t="str">
        <f>IF(SUM(Q594:R594)=1,1+MAX($A$1:A593),"")</f>
        <v/>
      </c>
      <c r="B594" s="112" t="str">
        <f>IF(SUM(X594:Y594)=1,1+MAX($B$1:B593),"")</f>
        <v/>
      </c>
      <c r="C594" s="112" t="str">
        <f>IF(SUM(Q594:R594,X594:Y594)=2,1+MAX($C$1:C593),"")</f>
        <v/>
      </c>
      <c r="D594" s="113">
        <v>27198</v>
      </c>
      <c r="E594" s="112">
        <v>1974</v>
      </c>
      <c r="F594" s="118" t="s">
        <v>3060</v>
      </c>
      <c r="H594" s="114" t="s">
        <v>2700</v>
      </c>
      <c r="I594" s="112">
        <f t="shared" si="144"/>
        <v>0</v>
      </c>
      <c r="J594" s="112">
        <f t="shared" si="145"/>
        <v>9</v>
      </c>
      <c r="K594" s="115" t="s">
        <v>2862</v>
      </c>
      <c r="L594" s="115" t="s">
        <v>3090</v>
      </c>
      <c r="N594" s="115">
        <v>31700</v>
      </c>
      <c r="O594" s="112">
        <v>1</v>
      </c>
      <c r="P594" s="116" t="s">
        <v>3098</v>
      </c>
      <c r="Q594" s="112" t="str">
        <f t="shared" si="146"/>
        <v/>
      </c>
      <c r="R594" s="112" t="str">
        <f t="shared" si="147"/>
        <v/>
      </c>
      <c r="S594" s="112" t="str">
        <f t="shared" si="150"/>
        <v/>
      </c>
      <c r="T594" s="112" t="str">
        <f t="shared" si="151"/>
        <v/>
      </c>
      <c r="U594" s="112" t="str">
        <f t="shared" si="152"/>
        <v/>
      </c>
      <c r="V594" s="112" t="str">
        <f t="shared" si="153"/>
        <v/>
      </c>
      <c r="W594" s="112" t="str">
        <f t="shared" si="154"/>
        <v/>
      </c>
      <c r="X594" s="112" t="str">
        <f t="shared" si="148"/>
        <v/>
      </c>
      <c r="Y594" s="112" t="str">
        <f t="shared" si="149"/>
        <v/>
      </c>
      <c r="Z594" s="112" t="str">
        <f t="shared" si="155"/>
        <v/>
      </c>
      <c r="AA594" s="112" t="str">
        <f t="shared" si="156"/>
        <v/>
      </c>
      <c r="AB594" s="112" t="str">
        <f t="shared" si="157"/>
        <v/>
      </c>
      <c r="AC594" s="112" t="str">
        <f t="shared" si="158"/>
        <v/>
      </c>
      <c r="AD594" s="112" t="str">
        <f t="shared" si="159"/>
        <v/>
      </c>
    </row>
    <row r="595" spans="1:30" x14ac:dyDescent="0.2">
      <c r="A595" s="112" t="str">
        <f>IF(SUM(Q595:R595)=1,1+MAX($A$1:A594),"")</f>
        <v/>
      </c>
      <c r="B595" s="112" t="str">
        <f>IF(SUM(X595:Y595)=1,1+MAX($B$1:B594),"")</f>
        <v/>
      </c>
      <c r="C595" s="112" t="str">
        <f>IF(SUM(Q595:R595,X595:Y595)=2,1+MAX($C$1:C594),"")</f>
        <v/>
      </c>
      <c r="D595" s="113">
        <v>27198</v>
      </c>
      <c r="E595" s="112">
        <v>1974</v>
      </c>
      <c r="F595" s="118" t="s">
        <v>3060</v>
      </c>
      <c r="H595" s="114" t="s">
        <v>1442</v>
      </c>
      <c r="I595" s="112">
        <f t="shared" si="144"/>
        <v>0</v>
      </c>
      <c r="J595" s="112">
        <f t="shared" si="145"/>
        <v>0</v>
      </c>
      <c r="K595" s="115" t="s">
        <v>2717</v>
      </c>
      <c r="L595" s="115" t="s">
        <v>3097</v>
      </c>
      <c r="N595" s="115">
        <v>62000</v>
      </c>
      <c r="O595" s="112">
        <v>1</v>
      </c>
      <c r="P595" s="116" t="s">
        <v>2613</v>
      </c>
      <c r="Q595" s="112" t="str">
        <f t="shared" si="146"/>
        <v/>
      </c>
      <c r="R595" s="112" t="str">
        <f t="shared" si="147"/>
        <v/>
      </c>
      <c r="S595" s="112" t="str">
        <f t="shared" si="150"/>
        <v/>
      </c>
      <c r="T595" s="112" t="str">
        <f t="shared" si="151"/>
        <v/>
      </c>
      <c r="U595" s="112" t="str">
        <f t="shared" si="152"/>
        <v/>
      </c>
      <c r="V595" s="112" t="str">
        <f t="shared" si="153"/>
        <v/>
      </c>
      <c r="W595" s="112" t="str">
        <f t="shared" si="154"/>
        <v/>
      </c>
      <c r="X595" s="112" t="str">
        <f t="shared" si="148"/>
        <v/>
      </c>
      <c r="Y595" s="112" t="str">
        <f t="shared" si="149"/>
        <v/>
      </c>
      <c r="Z595" s="112" t="str">
        <f t="shared" si="155"/>
        <v/>
      </c>
      <c r="AA595" s="112" t="str">
        <f t="shared" si="156"/>
        <v/>
      </c>
      <c r="AB595" s="112" t="str">
        <f t="shared" si="157"/>
        <v/>
      </c>
      <c r="AC595" s="112" t="str">
        <f t="shared" si="158"/>
        <v/>
      </c>
      <c r="AD595" s="112" t="str">
        <f t="shared" si="159"/>
        <v/>
      </c>
    </row>
    <row r="596" spans="1:30" x14ac:dyDescent="0.2">
      <c r="A596" s="112" t="str">
        <f>IF(SUM(Q596:R596)=1,1+MAX($A$1:A595),"")</f>
        <v/>
      </c>
      <c r="B596" s="112" t="str">
        <f>IF(SUM(X596:Y596)=1,1+MAX($B$1:B595),"")</f>
        <v/>
      </c>
      <c r="C596" s="112" t="str">
        <f>IF(SUM(Q596:R596,X596:Y596)=2,1+MAX($C$1:C595),"")</f>
        <v/>
      </c>
      <c r="D596" s="113">
        <v>27198</v>
      </c>
      <c r="E596" s="112">
        <v>1974</v>
      </c>
      <c r="F596" s="118" t="s">
        <v>3060</v>
      </c>
      <c r="H596" s="114" t="s">
        <v>2650</v>
      </c>
      <c r="I596" s="112">
        <f t="shared" si="144"/>
        <v>1</v>
      </c>
      <c r="J596" s="112">
        <f t="shared" si="145"/>
        <v>1</v>
      </c>
      <c r="K596" s="115" t="s">
        <v>2714</v>
      </c>
      <c r="L596" s="115" t="s">
        <v>2763</v>
      </c>
      <c r="N596" s="115">
        <v>28300</v>
      </c>
      <c r="O596" s="112">
        <v>1</v>
      </c>
      <c r="P596" s="116" t="s">
        <v>2645</v>
      </c>
      <c r="Q596" s="112" t="str">
        <f t="shared" si="146"/>
        <v/>
      </c>
      <c r="R596" s="112" t="str">
        <f t="shared" si="147"/>
        <v/>
      </c>
      <c r="S596" s="112" t="str">
        <f t="shared" si="150"/>
        <v/>
      </c>
      <c r="T596" s="112" t="str">
        <f t="shared" si="151"/>
        <v/>
      </c>
      <c r="U596" s="112" t="str">
        <f t="shared" si="152"/>
        <v/>
      </c>
      <c r="V596" s="112" t="str">
        <f t="shared" si="153"/>
        <v/>
      </c>
      <c r="W596" s="112" t="str">
        <f t="shared" si="154"/>
        <v/>
      </c>
      <c r="X596" s="112" t="str">
        <f t="shared" si="148"/>
        <v/>
      </c>
      <c r="Y596" s="112" t="str">
        <f t="shared" si="149"/>
        <v/>
      </c>
      <c r="Z596" s="112" t="str">
        <f t="shared" si="155"/>
        <v/>
      </c>
      <c r="AA596" s="112" t="str">
        <f t="shared" si="156"/>
        <v/>
      </c>
      <c r="AB596" s="112" t="str">
        <f t="shared" si="157"/>
        <v/>
      </c>
      <c r="AC596" s="112" t="str">
        <f t="shared" si="158"/>
        <v/>
      </c>
      <c r="AD596" s="112" t="str">
        <f t="shared" si="159"/>
        <v/>
      </c>
    </row>
    <row r="597" spans="1:30" x14ac:dyDescent="0.2">
      <c r="A597" s="112" t="str">
        <f>IF(SUM(Q597:R597)=1,1+MAX($A$1:A596),"")</f>
        <v/>
      </c>
      <c r="B597" s="112" t="str">
        <f>IF(SUM(X597:Y597)=1,1+MAX($B$1:B596),"")</f>
        <v/>
      </c>
      <c r="C597" s="112" t="str">
        <f>IF(SUM(Q597:R597,X597:Y597)=2,1+MAX($C$1:C596),"")</f>
        <v/>
      </c>
      <c r="D597" s="113">
        <v>27198</v>
      </c>
      <c r="E597" s="112">
        <v>1974</v>
      </c>
      <c r="F597" s="118" t="s">
        <v>3060</v>
      </c>
      <c r="H597" s="114" t="s">
        <v>1317</v>
      </c>
      <c r="I597" s="112">
        <f t="shared" si="144"/>
        <v>0</v>
      </c>
      <c r="J597" s="112">
        <f t="shared" si="145"/>
        <v>3</v>
      </c>
      <c r="K597" s="115" t="s">
        <v>2547</v>
      </c>
      <c r="L597" s="115" t="s">
        <v>2774</v>
      </c>
      <c r="N597" s="115">
        <v>53300</v>
      </c>
      <c r="O597" s="112">
        <v>1</v>
      </c>
      <c r="P597" s="116" t="s">
        <v>2607</v>
      </c>
      <c r="Q597" s="112" t="str">
        <f t="shared" si="146"/>
        <v/>
      </c>
      <c r="R597" s="112" t="str">
        <f t="shared" si="147"/>
        <v/>
      </c>
      <c r="S597" s="112" t="str">
        <f t="shared" si="150"/>
        <v/>
      </c>
      <c r="T597" s="112" t="str">
        <f t="shared" si="151"/>
        <v/>
      </c>
      <c r="U597" s="112" t="str">
        <f t="shared" si="152"/>
        <v/>
      </c>
      <c r="V597" s="112" t="str">
        <f t="shared" si="153"/>
        <v/>
      </c>
      <c r="W597" s="112" t="str">
        <f t="shared" si="154"/>
        <v/>
      </c>
      <c r="X597" s="112" t="str">
        <f t="shared" si="148"/>
        <v/>
      </c>
      <c r="Y597" s="112" t="str">
        <f t="shared" si="149"/>
        <v/>
      </c>
      <c r="Z597" s="112" t="str">
        <f t="shared" si="155"/>
        <v/>
      </c>
      <c r="AA597" s="112" t="str">
        <f t="shared" si="156"/>
        <v/>
      </c>
      <c r="AB597" s="112" t="str">
        <f t="shared" si="157"/>
        <v/>
      </c>
      <c r="AC597" s="112" t="str">
        <f t="shared" si="158"/>
        <v/>
      </c>
      <c r="AD597" s="112" t="str">
        <f t="shared" si="159"/>
        <v/>
      </c>
    </row>
    <row r="598" spans="1:30" x14ac:dyDescent="0.2">
      <c r="A598" s="112" t="str">
        <f>IF(SUM(Q598:R598)=1,1+MAX($A$1:A597),"")</f>
        <v/>
      </c>
      <c r="B598" s="112">
        <f>IF(SUM(X598:Y598)=1,1+MAX($B$1:B597),"")</f>
        <v>61</v>
      </c>
      <c r="C598" s="112" t="str">
        <f>IF(SUM(Q598:R598,X598:Y598)=2,1+MAX($C$1:C597),"")</f>
        <v/>
      </c>
      <c r="D598" s="113">
        <v>27195</v>
      </c>
      <c r="E598" s="112">
        <v>1974</v>
      </c>
      <c r="F598" s="118" t="s">
        <v>3060</v>
      </c>
      <c r="H598" s="114" t="s">
        <v>1134</v>
      </c>
      <c r="I598" s="112">
        <f t="shared" si="144"/>
        <v>2</v>
      </c>
      <c r="J598" s="112">
        <f t="shared" si="145"/>
        <v>3</v>
      </c>
      <c r="K598" s="115" t="s">
        <v>2544</v>
      </c>
      <c r="L598" s="115" t="s">
        <v>2765</v>
      </c>
      <c r="N598" s="115">
        <v>32700</v>
      </c>
      <c r="O598" s="112">
        <v>1</v>
      </c>
      <c r="P598" s="116" t="s">
        <v>2706</v>
      </c>
      <c r="Q598" s="112" t="str">
        <f t="shared" si="146"/>
        <v/>
      </c>
      <c r="R598" s="112" t="str">
        <f t="shared" si="147"/>
        <v/>
      </c>
      <c r="S598" s="112" t="str">
        <f t="shared" si="150"/>
        <v/>
      </c>
      <c r="T598" s="112" t="str">
        <f t="shared" si="151"/>
        <v/>
      </c>
      <c r="U598" s="112" t="str">
        <f t="shared" si="152"/>
        <v/>
      </c>
      <c r="V598" s="112" t="str">
        <f t="shared" si="153"/>
        <v/>
      </c>
      <c r="W598" s="112" t="str">
        <f t="shared" si="154"/>
        <v/>
      </c>
      <c r="X598" s="112">
        <f t="shared" si="148"/>
        <v>1</v>
      </c>
      <c r="Y598" s="112" t="str">
        <f t="shared" si="149"/>
        <v/>
      </c>
      <c r="Z598" s="112">
        <f t="shared" si="155"/>
        <v>0</v>
      </c>
      <c r="AA598" s="112">
        <f t="shared" si="156"/>
        <v>0</v>
      </c>
      <c r="AB598" s="112">
        <f t="shared" si="157"/>
        <v>1</v>
      </c>
      <c r="AC598" s="112">
        <f t="shared" si="158"/>
        <v>5</v>
      </c>
      <c r="AD598" s="112">
        <f t="shared" si="159"/>
        <v>-1</v>
      </c>
    </row>
    <row r="599" spans="1:30" x14ac:dyDescent="0.2">
      <c r="A599" s="112" t="str">
        <f>IF(SUM(Q599:R599)=1,1+MAX($A$1:A598),"")</f>
        <v/>
      </c>
      <c r="B599" s="112" t="str">
        <f>IF(SUM(X599:Y599)=1,1+MAX($B$1:B598),"")</f>
        <v/>
      </c>
      <c r="C599" s="112" t="str">
        <f>IF(SUM(Q599:R599,X599:Y599)=2,1+MAX($C$1:C598),"")</f>
        <v/>
      </c>
      <c r="D599" s="113">
        <v>27195</v>
      </c>
      <c r="E599" s="112">
        <v>1974</v>
      </c>
      <c r="F599" s="118" t="s">
        <v>3060</v>
      </c>
      <c r="H599" s="114" t="s">
        <v>2671</v>
      </c>
      <c r="I599" s="112">
        <f t="shared" si="144"/>
        <v>1</v>
      </c>
      <c r="J599" s="112">
        <f t="shared" si="145"/>
        <v>3</v>
      </c>
      <c r="K599" s="115" t="s">
        <v>2674</v>
      </c>
      <c r="L599" s="115" t="s">
        <v>2763</v>
      </c>
      <c r="N599" s="115">
        <v>53000</v>
      </c>
      <c r="O599" s="112">
        <v>2</v>
      </c>
      <c r="P599" s="116" t="s">
        <v>2691</v>
      </c>
      <c r="Q599" s="112" t="str">
        <f t="shared" si="146"/>
        <v/>
      </c>
      <c r="R599" s="112" t="str">
        <f t="shared" si="147"/>
        <v/>
      </c>
      <c r="S599" s="112" t="str">
        <f t="shared" si="150"/>
        <v/>
      </c>
      <c r="T599" s="112" t="str">
        <f t="shared" si="151"/>
        <v/>
      </c>
      <c r="U599" s="112" t="str">
        <f t="shared" si="152"/>
        <v/>
      </c>
      <c r="V599" s="112" t="str">
        <f t="shared" si="153"/>
        <v/>
      </c>
      <c r="W599" s="112" t="str">
        <f t="shared" si="154"/>
        <v/>
      </c>
      <c r="X599" s="112" t="str">
        <f t="shared" si="148"/>
        <v/>
      </c>
      <c r="Y599" s="112" t="str">
        <f t="shared" si="149"/>
        <v/>
      </c>
      <c r="Z599" s="112" t="str">
        <f t="shared" si="155"/>
        <v/>
      </c>
      <c r="AA599" s="112" t="str">
        <f t="shared" si="156"/>
        <v/>
      </c>
      <c r="AB599" s="112" t="str">
        <f t="shared" si="157"/>
        <v/>
      </c>
      <c r="AC599" s="112" t="str">
        <f t="shared" si="158"/>
        <v/>
      </c>
      <c r="AD599" s="112" t="str">
        <f t="shared" si="159"/>
        <v/>
      </c>
    </row>
    <row r="600" spans="1:30" x14ac:dyDescent="0.2">
      <c r="A600" s="112" t="str">
        <f>IF(SUM(Q600:R600)=1,1+MAX($A$1:A599),"")</f>
        <v/>
      </c>
      <c r="B600" s="112" t="str">
        <f>IF(SUM(X600:Y600)=1,1+MAX($B$1:B599),"")</f>
        <v/>
      </c>
      <c r="C600" s="112" t="str">
        <f>IF(SUM(Q600:R600,X600:Y600)=2,1+MAX($C$1:C599),"")</f>
        <v/>
      </c>
      <c r="D600" s="113">
        <v>27195</v>
      </c>
      <c r="E600" s="112">
        <v>1974</v>
      </c>
      <c r="F600" s="118" t="s">
        <v>3060</v>
      </c>
      <c r="H600" s="114" t="s">
        <v>2604</v>
      </c>
      <c r="I600" s="112">
        <f t="shared" si="144"/>
        <v>2</v>
      </c>
      <c r="J600" s="112">
        <f t="shared" si="145"/>
        <v>0</v>
      </c>
      <c r="K600" s="115" t="s">
        <v>2540</v>
      </c>
      <c r="L600" s="115" t="s">
        <v>2776</v>
      </c>
      <c r="N600" s="115">
        <v>55100</v>
      </c>
      <c r="O600" s="112">
        <v>2</v>
      </c>
      <c r="P600" s="116" t="s">
        <v>2641</v>
      </c>
      <c r="Q600" s="112" t="str">
        <f t="shared" si="146"/>
        <v/>
      </c>
      <c r="R600" s="112" t="str">
        <f t="shared" si="147"/>
        <v/>
      </c>
      <c r="S600" s="112" t="str">
        <f t="shared" si="150"/>
        <v/>
      </c>
      <c r="T600" s="112" t="str">
        <f t="shared" si="151"/>
        <v/>
      </c>
      <c r="U600" s="112" t="str">
        <f t="shared" si="152"/>
        <v/>
      </c>
      <c r="V600" s="112" t="str">
        <f t="shared" si="153"/>
        <v/>
      </c>
      <c r="W600" s="112" t="str">
        <f t="shared" si="154"/>
        <v/>
      </c>
      <c r="X600" s="112" t="str">
        <f t="shared" si="148"/>
        <v/>
      </c>
      <c r="Y600" s="112" t="str">
        <f t="shared" si="149"/>
        <v/>
      </c>
      <c r="Z600" s="112" t="str">
        <f t="shared" si="155"/>
        <v/>
      </c>
      <c r="AA600" s="112" t="str">
        <f t="shared" si="156"/>
        <v/>
      </c>
      <c r="AB600" s="112" t="str">
        <f t="shared" si="157"/>
        <v/>
      </c>
      <c r="AC600" s="112" t="str">
        <f t="shared" si="158"/>
        <v/>
      </c>
      <c r="AD600" s="112" t="str">
        <f t="shared" si="159"/>
        <v/>
      </c>
    </row>
    <row r="601" spans="1:30" x14ac:dyDescent="0.2">
      <c r="A601" s="112" t="str">
        <f>IF(SUM(Q601:R601)=1,1+MAX($A$1:A600),"")</f>
        <v/>
      </c>
      <c r="B601" s="112" t="str">
        <f>IF(SUM(X601:Y601)=1,1+MAX($B$1:B600),"")</f>
        <v/>
      </c>
      <c r="C601" s="112" t="str">
        <f>IF(SUM(Q601:R601,X601:Y601)=2,1+MAX($C$1:C600),"")</f>
        <v/>
      </c>
      <c r="D601" s="113">
        <v>27195</v>
      </c>
      <c r="E601" s="112">
        <v>1974</v>
      </c>
      <c r="F601" s="118" t="s">
        <v>3060</v>
      </c>
      <c r="H601" s="114" t="s">
        <v>2631</v>
      </c>
      <c r="I601" s="112">
        <f t="shared" si="144"/>
        <v>0</v>
      </c>
      <c r="J601" s="112">
        <f t="shared" si="145"/>
        <v>0</v>
      </c>
      <c r="K601" s="115" t="s">
        <v>2549</v>
      </c>
      <c r="L601" s="115" t="s">
        <v>3087</v>
      </c>
      <c r="N601" s="115">
        <v>23800</v>
      </c>
      <c r="O601" s="112">
        <v>1</v>
      </c>
      <c r="P601" s="116" t="s">
        <v>2613</v>
      </c>
      <c r="Q601" s="112" t="str">
        <f t="shared" si="146"/>
        <v/>
      </c>
      <c r="R601" s="112" t="str">
        <f t="shared" si="147"/>
        <v/>
      </c>
      <c r="S601" s="112" t="str">
        <f t="shared" si="150"/>
        <v/>
      </c>
      <c r="T601" s="112" t="str">
        <f t="shared" si="151"/>
        <v/>
      </c>
      <c r="U601" s="112" t="str">
        <f t="shared" si="152"/>
        <v/>
      </c>
      <c r="V601" s="112" t="str">
        <f t="shared" si="153"/>
        <v/>
      </c>
      <c r="W601" s="112" t="str">
        <f t="shared" si="154"/>
        <v/>
      </c>
      <c r="X601" s="112" t="str">
        <f t="shared" si="148"/>
        <v/>
      </c>
      <c r="Y601" s="112" t="str">
        <f t="shared" si="149"/>
        <v/>
      </c>
      <c r="Z601" s="112" t="str">
        <f t="shared" si="155"/>
        <v/>
      </c>
      <c r="AA601" s="112" t="str">
        <f t="shared" si="156"/>
        <v/>
      </c>
      <c r="AB601" s="112" t="str">
        <f t="shared" si="157"/>
        <v/>
      </c>
      <c r="AC601" s="112" t="str">
        <f t="shared" si="158"/>
        <v/>
      </c>
      <c r="AD601" s="112" t="str">
        <f t="shared" si="159"/>
        <v/>
      </c>
    </row>
    <row r="602" spans="1:30" x14ac:dyDescent="0.2">
      <c r="A602" s="112" t="str">
        <f>IF(SUM(Q602:R602)=1,1+MAX($A$1:A601),"")</f>
        <v/>
      </c>
      <c r="B602" s="112" t="str">
        <f>IF(SUM(X602:Y602)=1,1+MAX($B$1:B601),"")</f>
        <v/>
      </c>
      <c r="C602" s="112" t="str">
        <f>IF(SUM(Q602:R602,X602:Y602)=2,1+MAX($C$1:C601),"")</f>
        <v/>
      </c>
      <c r="D602" s="113">
        <v>27194</v>
      </c>
      <c r="E602" s="112">
        <v>1974</v>
      </c>
      <c r="F602" s="118" t="s">
        <v>3060</v>
      </c>
      <c r="H602" s="114" t="s">
        <v>2700</v>
      </c>
      <c r="I602" s="112">
        <f t="shared" si="144"/>
        <v>0</v>
      </c>
      <c r="J602" s="112">
        <f t="shared" si="145"/>
        <v>2</v>
      </c>
      <c r="K602" s="115" t="s">
        <v>2717</v>
      </c>
      <c r="L602" s="115" t="s">
        <v>2768</v>
      </c>
      <c r="N602" s="115">
        <v>27000</v>
      </c>
      <c r="O602" s="112">
        <v>1</v>
      </c>
      <c r="P602" s="116" t="s">
        <v>2687</v>
      </c>
      <c r="Q602" s="112" t="str">
        <f t="shared" si="146"/>
        <v/>
      </c>
      <c r="R602" s="112" t="str">
        <f t="shared" si="147"/>
        <v/>
      </c>
      <c r="S602" s="112" t="str">
        <f t="shared" si="150"/>
        <v/>
      </c>
      <c r="T602" s="112" t="str">
        <f t="shared" si="151"/>
        <v/>
      </c>
      <c r="U602" s="112" t="str">
        <f t="shared" si="152"/>
        <v/>
      </c>
      <c r="V602" s="112" t="str">
        <f t="shared" si="153"/>
        <v/>
      </c>
      <c r="W602" s="112" t="str">
        <f t="shared" si="154"/>
        <v/>
      </c>
      <c r="X602" s="112" t="str">
        <f t="shared" si="148"/>
        <v/>
      </c>
      <c r="Y602" s="112" t="str">
        <f t="shared" si="149"/>
        <v/>
      </c>
      <c r="Z602" s="112" t="str">
        <f t="shared" si="155"/>
        <v/>
      </c>
      <c r="AA602" s="112" t="str">
        <f t="shared" si="156"/>
        <v/>
      </c>
      <c r="AB602" s="112" t="str">
        <f t="shared" si="157"/>
        <v/>
      </c>
      <c r="AC602" s="112" t="str">
        <f t="shared" si="158"/>
        <v/>
      </c>
      <c r="AD602" s="112" t="str">
        <f t="shared" si="159"/>
        <v/>
      </c>
    </row>
    <row r="603" spans="1:30" x14ac:dyDescent="0.2">
      <c r="A603" s="112" t="str">
        <f>IF(SUM(Q603:R603)=1,1+MAX($A$1:A602),"")</f>
        <v/>
      </c>
      <c r="B603" s="112" t="str">
        <f>IF(SUM(X603:Y603)=1,1+MAX($B$1:B602),"")</f>
        <v/>
      </c>
      <c r="C603" s="112" t="str">
        <f>IF(SUM(Q603:R603,X603:Y603)=2,1+MAX($C$1:C602),"")</f>
        <v/>
      </c>
      <c r="D603" s="113">
        <v>27194</v>
      </c>
      <c r="E603" s="112">
        <v>1974</v>
      </c>
      <c r="F603" s="118" t="s">
        <v>3060</v>
      </c>
      <c r="H603" s="114" t="s">
        <v>1317</v>
      </c>
      <c r="I603" s="112">
        <f t="shared" si="144"/>
        <v>0</v>
      </c>
      <c r="J603" s="112">
        <f t="shared" si="145"/>
        <v>2</v>
      </c>
      <c r="K603" s="115" t="s">
        <v>2714</v>
      </c>
      <c r="L603" s="115" t="s">
        <v>2774</v>
      </c>
      <c r="N603" s="115">
        <v>17000</v>
      </c>
      <c r="O603" s="112">
        <v>1</v>
      </c>
      <c r="P603" s="116" t="s">
        <v>2687</v>
      </c>
      <c r="Q603" s="112" t="str">
        <f t="shared" si="146"/>
        <v/>
      </c>
      <c r="R603" s="112" t="str">
        <f t="shared" si="147"/>
        <v/>
      </c>
      <c r="S603" s="112" t="str">
        <f t="shared" si="150"/>
        <v/>
      </c>
      <c r="T603" s="112" t="str">
        <f t="shared" si="151"/>
        <v/>
      </c>
      <c r="U603" s="112" t="str">
        <f t="shared" si="152"/>
        <v/>
      </c>
      <c r="V603" s="112" t="str">
        <f t="shared" si="153"/>
        <v/>
      </c>
      <c r="W603" s="112" t="str">
        <f t="shared" si="154"/>
        <v/>
      </c>
      <c r="X603" s="112" t="str">
        <f t="shared" si="148"/>
        <v/>
      </c>
      <c r="Y603" s="112" t="str">
        <f t="shared" si="149"/>
        <v/>
      </c>
      <c r="Z603" s="112" t="str">
        <f t="shared" si="155"/>
        <v/>
      </c>
      <c r="AA603" s="112" t="str">
        <f t="shared" si="156"/>
        <v/>
      </c>
      <c r="AB603" s="112" t="str">
        <f t="shared" si="157"/>
        <v/>
      </c>
      <c r="AC603" s="112" t="str">
        <f t="shared" si="158"/>
        <v/>
      </c>
      <c r="AD603" s="112" t="str">
        <f t="shared" si="159"/>
        <v/>
      </c>
    </row>
    <row r="604" spans="1:30" x14ac:dyDescent="0.2">
      <c r="A604" s="112" t="str">
        <f>IF(SUM(Q604:R604)=1,1+MAX($A$1:A603),"")</f>
        <v/>
      </c>
      <c r="B604" s="112" t="str">
        <f>IF(SUM(X604:Y604)=1,1+MAX($B$1:B603),"")</f>
        <v/>
      </c>
      <c r="C604" s="112" t="str">
        <f>IF(SUM(Q604:R604,X604:Y604)=2,1+MAX($C$1:C603),"")</f>
        <v/>
      </c>
      <c r="D604" s="113">
        <v>27194</v>
      </c>
      <c r="E604" s="112">
        <v>1974</v>
      </c>
      <c r="F604" s="118" t="s">
        <v>3060</v>
      </c>
      <c r="H604" s="114" t="s">
        <v>2650</v>
      </c>
      <c r="I604" s="112">
        <f t="shared" si="144"/>
        <v>0</v>
      </c>
      <c r="J604" s="112">
        <f t="shared" si="145"/>
        <v>1</v>
      </c>
      <c r="K604" s="115" t="s">
        <v>2547</v>
      </c>
      <c r="L604" s="115" t="s">
        <v>2763</v>
      </c>
      <c r="N604" s="115">
        <v>81100</v>
      </c>
      <c r="O604" s="112">
        <v>1</v>
      </c>
      <c r="P604" s="116" t="s">
        <v>2601</v>
      </c>
      <c r="Q604" s="112" t="str">
        <f t="shared" si="146"/>
        <v/>
      </c>
      <c r="R604" s="112" t="str">
        <f t="shared" si="147"/>
        <v/>
      </c>
      <c r="S604" s="112" t="str">
        <f t="shared" si="150"/>
        <v/>
      </c>
      <c r="T604" s="112" t="str">
        <f t="shared" si="151"/>
        <v/>
      </c>
      <c r="U604" s="112" t="str">
        <f t="shared" si="152"/>
        <v/>
      </c>
      <c r="V604" s="112" t="str">
        <f t="shared" si="153"/>
        <v/>
      </c>
      <c r="W604" s="112" t="str">
        <f t="shared" si="154"/>
        <v/>
      </c>
      <c r="X604" s="112" t="str">
        <f t="shared" si="148"/>
        <v/>
      </c>
      <c r="Y604" s="112" t="str">
        <f t="shared" si="149"/>
        <v/>
      </c>
      <c r="Z604" s="112" t="str">
        <f t="shared" si="155"/>
        <v/>
      </c>
      <c r="AA604" s="112" t="str">
        <f t="shared" si="156"/>
        <v/>
      </c>
      <c r="AB604" s="112" t="str">
        <f t="shared" si="157"/>
        <v/>
      </c>
      <c r="AC604" s="112" t="str">
        <f t="shared" si="158"/>
        <v/>
      </c>
      <c r="AD604" s="112" t="str">
        <f t="shared" si="159"/>
        <v/>
      </c>
    </row>
    <row r="605" spans="1:30" x14ac:dyDescent="0.2">
      <c r="A605" s="112" t="str">
        <f>IF(SUM(Q605:R605)=1,1+MAX($A$1:A604),"")</f>
        <v/>
      </c>
      <c r="B605" s="112" t="str">
        <f>IF(SUM(X605:Y605)=1,1+MAX($B$1:B604),"")</f>
        <v/>
      </c>
      <c r="C605" s="112" t="str">
        <f>IF(SUM(Q605:R605,X605:Y605)=2,1+MAX($C$1:C604),"")</f>
        <v/>
      </c>
      <c r="D605" s="113">
        <v>27193</v>
      </c>
      <c r="E605" s="112">
        <v>1974</v>
      </c>
      <c r="F605" s="118" t="s">
        <v>3060</v>
      </c>
      <c r="H605" s="114" t="s">
        <v>1442</v>
      </c>
      <c r="I605" s="112">
        <f t="shared" si="144"/>
        <v>0</v>
      </c>
      <c r="J605" s="112">
        <f t="shared" si="145"/>
        <v>0</v>
      </c>
      <c r="K605" s="115" t="s">
        <v>2862</v>
      </c>
      <c r="L605" s="115" t="s">
        <v>3097</v>
      </c>
      <c r="N605" s="115">
        <v>62000</v>
      </c>
      <c r="O605" s="112">
        <v>1</v>
      </c>
      <c r="P605" s="116" t="s">
        <v>2613</v>
      </c>
      <c r="Q605" s="112" t="str">
        <f t="shared" si="146"/>
        <v/>
      </c>
      <c r="R605" s="112" t="str">
        <f t="shared" si="147"/>
        <v/>
      </c>
      <c r="S605" s="112" t="str">
        <f t="shared" si="150"/>
        <v/>
      </c>
      <c r="T605" s="112" t="str">
        <f t="shared" si="151"/>
        <v/>
      </c>
      <c r="U605" s="112" t="str">
        <f t="shared" si="152"/>
        <v/>
      </c>
      <c r="V605" s="112" t="str">
        <f t="shared" si="153"/>
        <v/>
      </c>
      <c r="W605" s="112" t="str">
        <f t="shared" si="154"/>
        <v/>
      </c>
      <c r="X605" s="112" t="str">
        <f t="shared" si="148"/>
        <v/>
      </c>
      <c r="Y605" s="112" t="str">
        <f t="shared" si="149"/>
        <v/>
      </c>
      <c r="Z605" s="112" t="str">
        <f t="shared" si="155"/>
        <v/>
      </c>
      <c r="AA605" s="112" t="str">
        <f t="shared" si="156"/>
        <v/>
      </c>
      <c r="AB605" s="112" t="str">
        <f t="shared" si="157"/>
        <v/>
      </c>
      <c r="AC605" s="112" t="str">
        <f t="shared" si="158"/>
        <v/>
      </c>
      <c r="AD605" s="112" t="str">
        <f t="shared" si="159"/>
        <v/>
      </c>
    </row>
    <row r="606" spans="1:30" x14ac:dyDescent="0.2">
      <c r="A606" s="112" t="str">
        <f>IF(SUM(Q606:R606)=1,1+MAX($A$1:A605),"")</f>
        <v/>
      </c>
      <c r="B606" s="112" t="str">
        <f>IF(SUM(X606:Y606)=1,1+MAX($B$1:B605),"")</f>
        <v/>
      </c>
      <c r="C606" s="112" t="str">
        <f>IF(SUM(Q606:R606,X606:Y606)=2,1+MAX($C$1:C605),"")</f>
        <v/>
      </c>
      <c r="D606" s="113">
        <v>27217</v>
      </c>
      <c r="E606" s="112">
        <v>1974</v>
      </c>
      <c r="F606" s="112" t="s">
        <v>2597</v>
      </c>
      <c r="H606" s="114" t="s">
        <v>2547</v>
      </c>
      <c r="I606" s="112">
        <f t="shared" si="144"/>
        <v>2</v>
      </c>
      <c r="J606" s="112">
        <f t="shared" si="145"/>
        <v>1</v>
      </c>
      <c r="K606" s="115" t="s">
        <v>2604</v>
      </c>
      <c r="L606" s="115" t="s">
        <v>2763</v>
      </c>
      <c r="M606" s="115" t="s">
        <v>3085</v>
      </c>
      <c r="N606" s="115">
        <v>75200</v>
      </c>
      <c r="O606" s="112">
        <v>2</v>
      </c>
      <c r="P606" s="116" t="s">
        <v>2626</v>
      </c>
      <c r="Q606" s="112" t="str">
        <f t="shared" si="146"/>
        <v/>
      </c>
      <c r="R606" s="112" t="str">
        <f t="shared" si="147"/>
        <v/>
      </c>
      <c r="S606" s="112" t="str">
        <f t="shared" si="150"/>
        <v/>
      </c>
      <c r="T606" s="112" t="str">
        <f t="shared" si="151"/>
        <v/>
      </c>
      <c r="U606" s="112" t="str">
        <f t="shared" si="152"/>
        <v/>
      </c>
      <c r="V606" s="112" t="str">
        <f t="shared" si="153"/>
        <v/>
      </c>
      <c r="W606" s="112" t="str">
        <f t="shared" si="154"/>
        <v/>
      </c>
      <c r="X606" s="112" t="str">
        <f t="shared" si="148"/>
        <v/>
      </c>
      <c r="Y606" s="112" t="str">
        <f t="shared" si="149"/>
        <v/>
      </c>
      <c r="Z606" s="112" t="str">
        <f t="shared" si="155"/>
        <v/>
      </c>
      <c r="AA606" s="112" t="str">
        <f t="shared" si="156"/>
        <v/>
      </c>
      <c r="AB606" s="112" t="str">
        <f t="shared" si="157"/>
        <v/>
      </c>
      <c r="AC606" s="112" t="str">
        <f t="shared" si="158"/>
        <v/>
      </c>
      <c r="AD606" s="112" t="str">
        <f t="shared" si="159"/>
        <v/>
      </c>
    </row>
    <row r="607" spans="1:30" x14ac:dyDescent="0.2">
      <c r="A607" s="112" t="str">
        <f>IF(SUM(Q607:R607)=1,1+MAX($A$1:A606),"")</f>
        <v/>
      </c>
      <c r="B607" s="112" t="str">
        <f>IF(SUM(X607:Y607)=1,1+MAX($B$1:B606),"")</f>
        <v/>
      </c>
      <c r="C607" s="112" t="str">
        <f>IF(SUM(Q607:R607,X607:Y607)=2,1+MAX($C$1:C606),"")</f>
        <v/>
      </c>
      <c r="D607" s="113">
        <v>27216</v>
      </c>
      <c r="E607" s="112">
        <v>1974</v>
      </c>
      <c r="F607" s="118" t="s">
        <v>3060</v>
      </c>
      <c r="H607" s="114" t="s">
        <v>1442</v>
      </c>
      <c r="I607" s="112">
        <f t="shared" si="144"/>
        <v>0</v>
      </c>
      <c r="J607" s="112">
        <f t="shared" si="145"/>
        <v>1</v>
      </c>
      <c r="K607" s="115" t="s">
        <v>2544</v>
      </c>
      <c r="L607" s="115" t="s">
        <v>2763</v>
      </c>
      <c r="M607" s="115" t="s">
        <v>3086</v>
      </c>
      <c r="N607" s="115">
        <v>74100</v>
      </c>
      <c r="O607" s="112">
        <v>2</v>
      </c>
      <c r="P607" s="116" t="s">
        <v>2601</v>
      </c>
      <c r="Q607" s="112" t="str">
        <f t="shared" si="146"/>
        <v/>
      </c>
      <c r="R607" s="112" t="str">
        <f t="shared" si="147"/>
        <v/>
      </c>
      <c r="S607" s="112" t="str">
        <f t="shared" si="150"/>
        <v/>
      </c>
      <c r="T607" s="112" t="str">
        <f t="shared" si="151"/>
        <v/>
      </c>
      <c r="U607" s="112" t="str">
        <f t="shared" si="152"/>
        <v/>
      </c>
      <c r="V607" s="112" t="str">
        <f t="shared" si="153"/>
        <v/>
      </c>
      <c r="W607" s="112" t="str">
        <f t="shared" si="154"/>
        <v/>
      </c>
      <c r="X607" s="112" t="str">
        <f t="shared" si="148"/>
        <v/>
      </c>
      <c r="Y607" s="112" t="str">
        <f t="shared" si="149"/>
        <v/>
      </c>
      <c r="Z607" s="112" t="str">
        <f t="shared" si="155"/>
        <v/>
      </c>
      <c r="AA607" s="112" t="str">
        <f t="shared" si="156"/>
        <v/>
      </c>
      <c r="AB607" s="112" t="str">
        <f t="shared" si="157"/>
        <v/>
      </c>
      <c r="AC607" s="112" t="str">
        <f t="shared" si="158"/>
        <v/>
      </c>
      <c r="AD607" s="112" t="str">
        <f t="shared" si="159"/>
        <v/>
      </c>
    </row>
    <row r="608" spans="1:30" x14ac:dyDescent="0.2">
      <c r="A608" s="112" t="str">
        <f>IF(SUM(Q608:R608)=1,1+MAX($A$1:A607),"")</f>
        <v/>
      </c>
      <c r="B608" s="112" t="str">
        <f>IF(SUM(X608:Y608)=1,1+MAX($B$1:B607),"")</f>
        <v/>
      </c>
      <c r="C608" s="112" t="str">
        <f>IF(SUM(Q608:R608,X608:Y608)=2,1+MAX($C$1:C607),"")</f>
        <v/>
      </c>
      <c r="D608" s="113">
        <v>27213</v>
      </c>
      <c r="E608" s="112">
        <v>1974</v>
      </c>
      <c r="F608" s="112" t="s">
        <v>2684</v>
      </c>
      <c r="G608" s="112" t="s">
        <v>2685</v>
      </c>
      <c r="H608" s="114" t="s">
        <v>2549</v>
      </c>
      <c r="I608" s="112">
        <f t="shared" si="144"/>
        <v>2</v>
      </c>
      <c r="J608" s="112">
        <f t="shared" si="145"/>
        <v>1</v>
      </c>
      <c r="K608" s="115" t="s">
        <v>2862</v>
      </c>
      <c r="L608" s="115" t="s">
        <v>3087</v>
      </c>
      <c r="M608" s="115" t="s">
        <v>3088</v>
      </c>
      <c r="N608" s="115">
        <v>4000</v>
      </c>
      <c r="O608" s="112">
        <v>2</v>
      </c>
      <c r="P608" s="116" t="s">
        <v>2626</v>
      </c>
      <c r="Q608" s="112" t="str">
        <f t="shared" si="146"/>
        <v/>
      </c>
      <c r="R608" s="112" t="str">
        <f t="shared" si="147"/>
        <v/>
      </c>
      <c r="S608" s="112" t="str">
        <f t="shared" si="150"/>
        <v/>
      </c>
      <c r="T608" s="112" t="str">
        <f t="shared" si="151"/>
        <v/>
      </c>
      <c r="U608" s="112" t="str">
        <f t="shared" si="152"/>
        <v/>
      </c>
      <c r="V608" s="112" t="str">
        <f t="shared" si="153"/>
        <v/>
      </c>
      <c r="W608" s="112" t="str">
        <f t="shared" si="154"/>
        <v/>
      </c>
      <c r="X608" s="112" t="str">
        <f t="shared" si="148"/>
        <v/>
      </c>
      <c r="Y608" s="112" t="str">
        <f t="shared" si="149"/>
        <v/>
      </c>
      <c r="Z608" s="112" t="str">
        <f t="shared" si="155"/>
        <v/>
      </c>
      <c r="AA608" s="112" t="str">
        <f t="shared" si="156"/>
        <v/>
      </c>
      <c r="AB608" s="112" t="str">
        <f t="shared" si="157"/>
        <v/>
      </c>
      <c r="AC608" s="112" t="str">
        <f t="shared" si="158"/>
        <v/>
      </c>
      <c r="AD608" s="112" t="str">
        <f t="shared" si="159"/>
        <v/>
      </c>
    </row>
    <row r="609" spans="1:30" x14ac:dyDescent="0.2">
      <c r="A609" s="112" t="str">
        <f>IF(SUM(Q609:R609)=1,1+MAX($A$1:A608),"")</f>
        <v/>
      </c>
      <c r="B609" s="112" t="str">
        <f>IF(SUM(X609:Y609)=1,1+MAX($B$1:B608),"")</f>
        <v/>
      </c>
      <c r="C609" s="112" t="str">
        <f>IF(SUM(Q609:R609,X609:Y609)=2,1+MAX($C$1:C608),"")</f>
        <v/>
      </c>
      <c r="D609" s="113">
        <v>27213</v>
      </c>
      <c r="E609" s="112">
        <v>1974</v>
      </c>
      <c r="F609" s="112" t="s">
        <v>2684</v>
      </c>
      <c r="G609" s="112" t="s">
        <v>2685</v>
      </c>
      <c r="H609" s="114" t="s">
        <v>2547</v>
      </c>
      <c r="I609" s="112">
        <f t="shared" si="144"/>
        <v>1</v>
      </c>
      <c r="J609" s="112">
        <f t="shared" si="145"/>
        <v>0</v>
      </c>
      <c r="K609" s="115" t="s">
        <v>2544</v>
      </c>
      <c r="L609" s="115" t="s">
        <v>2769</v>
      </c>
      <c r="M609" s="115" t="s">
        <v>3073</v>
      </c>
      <c r="N609" s="115">
        <v>59000</v>
      </c>
      <c r="O609" s="112">
        <v>2</v>
      </c>
      <c r="P609" s="116" t="s">
        <v>2622</v>
      </c>
      <c r="Q609" s="112" t="str">
        <f t="shared" si="146"/>
        <v/>
      </c>
      <c r="R609" s="112" t="str">
        <f t="shared" si="147"/>
        <v/>
      </c>
      <c r="S609" s="112" t="str">
        <f t="shared" si="150"/>
        <v/>
      </c>
      <c r="T609" s="112" t="str">
        <f t="shared" si="151"/>
        <v/>
      </c>
      <c r="U609" s="112" t="str">
        <f t="shared" si="152"/>
        <v/>
      </c>
      <c r="V609" s="112" t="str">
        <f t="shared" si="153"/>
        <v/>
      </c>
      <c r="W609" s="112" t="str">
        <f t="shared" si="154"/>
        <v/>
      </c>
      <c r="X609" s="112" t="str">
        <f t="shared" si="148"/>
        <v/>
      </c>
      <c r="Y609" s="112" t="str">
        <f t="shared" si="149"/>
        <v/>
      </c>
      <c r="Z609" s="112" t="str">
        <f t="shared" si="155"/>
        <v/>
      </c>
      <c r="AA609" s="112" t="str">
        <f t="shared" si="156"/>
        <v/>
      </c>
      <c r="AB609" s="112" t="str">
        <f t="shared" si="157"/>
        <v/>
      </c>
      <c r="AC609" s="112" t="str">
        <f t="shared" si="158"/>
        <v/>
      </c>
      <c r="AD609" s="112" t="str">
        <f t="shared" si="159"/>
        <v/>
      </c>
    </row>
    <row r="610" spans="1:30" x14ac:dyDescent="0.2">
      <c r="A610" s="112" t="str">
        <f>IF(SUM(Q610:R610)=1,1+MAX($A$1:A609),"")</f>
        <v/>
      </c>
      <c r="B610" s="112" t="str">
        <f>IF(SUM(X610:Y610)=1,1+MAX($B$1:B609),"")</f>
        <v/>
      </c>
      <c r="C610" s="112" t="str">
        <f>IF(SUM(Q610:R610,X610:Y610)=2,1+MAX($C$1:C609),"")</f>
        <v/>
      </c>
      <c r="D610" s="113">
        <v>27213</v>
      </c>
      <c r="E610" s="112">
        <v>1974</v>
      </c>
      <c r="F610" s="112" t="s">
        <v>2689</v>
      </c>
      <c r="G610" s="112" t="s">
        <v>2690</v>
      </c>
      <c r="H610" s="114" t="s">
        <v>1442</v>
      </c>
      <c r="I610" s="112">
        <f t="shared" si="144"/>
        <v>0</v>
      </c>
      <c r="J610" s="112">
        <f t="shared" si="145"/>
        <v>2</v>
      </c>
      <c r="K610" s="115" t="s">
        <v>2604</v>
      </c>
      <c r="L610" s="115" t="s">
        <v>2768</v>
      </c>
      <c r="M610" s="115" t="s">
        <v>3089</v>
      </c>
      <c r="N610" s="115">
        <v>52500</v>
      </c>
      <c r="O610" s="112">
        <v>2</v>
      </c>
      <c r="P610" s="116" t="s">
        <v>2687</v>
      </c>
      <c r="Q610" s="112" t="str">
        <f t="shared" si="146"/>
        <v/>
      </c>
      <c r="R610" s="112" t="str">
        <f t="shared" si="147"/>
        <v/>
      </c>
      <c r="S610" s="112" t="str">
        <f t="shared" si="150"/>
        <v/>
      </c>
      <c r="T610" s="112" t="str">
        <f t="shared" si="151"/>
        <v/>
      </c>
      <c r="U610" s="112" t="str">
        <f t="shared" si="152"/>
        <v/>
      </c>
      <c r="V610" s="112" t="str">
        <f t="shared" si="153"/>
        <v/>
      </c>
      <c r="W610" s="112" t="str">
        <f t="shared" si="154"/>
        <v/>
      </c>
      <c r="X610" s="112" t="str">
        <f t="shared" si="148"/>
        <v/>
      </c>
      <c r="Y610" s="112" t="str">
        <f t="shared" si="149"/>
        <v/>
      </c>
      <c r="Z610" s="112" t="str">
        <f t="shared" si="155"/>
        <v/>
      </c>
      <c r="AA610" s="112" t="str">
        <f t="shared" si="156"/>
        <v/>
      </c>
      <c r="AB610" s="112" t="str">
        <f t="shared" si="157"/>
        <v/>
      </c>
      <c r="AC610" s="112" t="str">
        <f t="shared" si="158"/>
        <v/>
      </c>
      <c r="AD610" s="112" t="str">
        <f t="shared" si="159"/>
        <v/>
      </c>
    </row>
    <row r="611" spans="1:30" x14ac:dyDescent="0.2">
      <c r="A611" s="112" t="str">
        <f>IF(SUM(Q611:R611)=1,1+MAX($A$1:A610),"")</f>
        <v/>
      </c>
      <c r="B611" s="112">
        <f>IF(SUM(X611:Y611)=1,1+MAX($B$1:B610),"")</f>
        <v>62</v>
      </c>
      <c r="C611" s="112" t="str">
        <f>IF(SUM(Q611:R611,X611:Y611)=2,1+MAX($C$1:C610),"")</f>
        <v/>
      </c>
      <c r="D611" s="113">
        <v>27213</v>
      </c>
      <c r="E611" s="112">
        <v>1974</v>
      </c>
      <c r="F611" s="112" t="s">
        <v>2689</v>
      </c>
      <c r="G611" s="112" t="s">
        <v>2690</v>
      </c>
      <c r="H611" s="114" t="s">
        <v>1134</v>
      </c>
      <c r="I611" s="112">
        <f t="shared" si="144"/>
        <v>1</v>
      </c>
      <c r="J611" s="112">
        <f t="shared" si="145"/>
        <v>1</v>
      </c>
      <c r="K611" s="115" t="s">
        <v>2714</v>
      </c>
      <c r="L611" s="115" t="s">
        <v>3090</v>
      </c>
      <c r="M611" s="115" t="s">
        <v>3085</v>
      </c>
      <c r="N611" s="115">
        <v>53054</v>
      </c>
      <c r="O611" s="112">
        <v>2</v>
      </c>
      <c r="P611" s="116" t="s">
        <v>2645</v>
      </c>
      <c r="Q611" s="112" t="str">
        <f t="shared" si="146"/>
        <v/>
      </c>
      <c r="R611" s="112" t="str">
        <f t="shared" si="147"/>
        <v/>
      </c>
      <c r="S611" s="112" t="str">
        <f t="shared" si="150"/>
        <v/>
      </c>
      <c r="T611" s="112" t="str">
        <f t="shared" si="151"/>
        <v/>
      </c>
      <c r="U611" s="112" t="str">
        <f t="shared" si="152"/>
        <v/>
      </c>
      <c r="V611" s="112" t="str">
        <f t="shared" si="153"/>
        <v/>
      </c>
      <c r="W611" s="112" t="str">
        <f t="shared" si="154"/>
        <v/>
      </c>
      <c r="X611" s="112">
        <f t="shared" si="148"/>
        <v>1</v>
      </c>
      <c r="Y611" s="112" t="str">
        <f t="shared" si="149"/>
        <v/>
      </c>
      <c r="Z611" s="112">
        <f t="shared" si="155"/>
        <v>0</v>
      </c>
      <c r="AA611" s="112">
        <f t="shared" si="156"/>
        <v>1</v>
      </c>
      <c r="AB611" s="112">
        <f t="shared" si="157"/>
        <v>0</v>
      </c>
      <c r="AC611" s="112">
        <f t="shared" si="158"/>
        <v>2</v>
      </c>
      <c r="AD611" s="112">
        <f t="shared" si="159"/>
        <v>0</v>
      </c>
    </row>
    <row r="612" spans="1:30" x14ac:dyDescent="0.2">
      <c r="A612" s="112" t="str">
        <f>IF(SUM(Q612:R612)=1,1+MAX($A$1:A611),"")</f>
        <v/>
      </c>
      <c r="B612" s="112" t="str">
        <f>IF(SUM(X612:Y612)=1,1+MAX($B$1:B611),"")</f>
        <v/>
      </c>
      <c r="C612" s="112" t="str">
        <f>IF(SUM(Q612:R612,X612:Y612)=2,1+MAX($C$1:C611),"")</f>
        <v/>
      </c>
      <c r="D612" s="113">
        <v>27210</v>
      </c>
      <c r="E612" s="112">
        <v>1974</v>
      </c>
      <c r="F612" s="112" t="s">
        <v>2684</v>
      </c>
      <c r="G612" s="112" t="s">
        <v>2685</v>
      </c>
      <c r="H612" s="114" t="s">
        <v>2547</v>
      </c>
      <c r="I612" s="112">
        <f t="shared" si="144"/>
        <v>4</v>
      </c>
      <c r="J612" s="112">
        <f t="shared" si="145"/>
        <v>2</v>
      </c>
      <c r="K612" s="115" t="s">
        <v>2549</v>
      </c>
      <c r="L612" s="115" t="s">
        <v>3087</v>
      </c>
      <c r="M612" s="115" t="s">
        <v>3091</v>
      </c>
      <c r="N612" s="115">
        <v>66500</v>
      </c>
      <c r="O612" s="112">
        <v>2</v>
      </c>
      <c r="P612" s="116" t="s">
        <v>2695</v>
      </c>
      <c r="Q612" s="112" t="str">
        <f t="shared" si="146"/>
        <v/>
      </c>
      <c r="R612" s="112" t="str">
        <f t="shared" si="147"/>
        <v/>
      </c>
      <c r="S612" s="112" t="str">
        <f t="shared" si="150"/>
        <v/>
      </c>
      <c r="T612" s="112" t="str">
        <f t="shared" si="151"/>
        <v/>
      </c>
      <c r="U612" s="112" t="str">
        <f t="shared" si="152"/>
        <v/>
      </c>
      <c r="V612" s="112" t="str">
        <f t="shared" si="153"/>
        <v/>
      </c>
      <c r="W612" s="112" t="str">
        <f t="shared" si="154"/>
        <v/>
      </c>
      <c r="X612" s="112" t="str">
        <f t="shared" si="148"/>
        <v/>
      </c>
      <c r="Y612" s="112" t="str">
        <f t="shared" si="149"/>
        <v/>
      </c>
      <c r="Z612" s="112" t="str">
        <f t="shared" si="155"/>
        <v/>
      </c>
      <c r="AA612" s="112" t="str">
        <f t="shared" si="156"/>
        <v/>
      </c>
      <c r="AB612" s="112" t="str">
        <f t="shared" si="157"/>
        <v/>
      </c>
      <c r="AC612" s="112" t="str">
        <f t="shared" si="158"/>
        <v/>
      </c>
      <c r="AD612" s="112" t="str">
        <f t="shared" si="159"/>
        <v/>
      </c>
    </row>
    <row r="613" spans="1:30" x14ac:dyDescent="0.2">
      <c r="A613" s="112" t="str">
        <f>IF(SUM(Q613:R613)=1,1+MAX($A$1:A612),"")</f>
        <v/>
      </c>
      <c r="B613" s="112" t="str">
        <f>IF(SUM(X613:Y613)=1,1+MAX($B$1:B612),"")</f>
        <v/>
      </c>
      <c r="C613" s="112" t="str">
        <f>IF(SUM(Q613:R613,X613:Y613)=2,1+MAX($C$1:C612),"")</f>
        <v/>
      </c>
      <c r="D613" s="113">
        <v>27210</v>
      </c>
      <c r="E613" s="112">
        <v>1974</v>
      </c>
      <c r="F613" s="112" t="s">
        <v>2684</v>
      </c>
      <c r="G613" s="112" t="s">
        <v>2685</v>
      </c>
      <c r="H613" s="114" t="s">
        <v>2544</v>
      </c>
      <c r="I613" s="112">
        <f t="shared" si="144"/>
        <v>2</v>
      </c>
      <c r="J613" s="112">
        <f t="shared" si="145"/>
        <v>1</v>
      </c>
      <c r="K613" s="115" t="s">
        <v>2862</v>
      </c>
      <c r="L613" s="115" t="s">
        <v>2769</v>
      </c>
      <c r="M613" s="115" t="s">
        <v>3092</v>
      </c>
      <c r="N613" s="115">
        <v>55000</v>
      </c>
      <c r="O613" s="112">
        <v>2</v>
      </c>
      <c r="P613" s="116" t="s">
        <v>2626</v>
      </c>
      <c r="Q613" s="112" t="str">
        <f t="shared" si="146"/>
        <v/>
      </c>
      <c r="R613" s="112" t="str">
        <f t="shared" si="147"/>
        <v/>
      </c>
      <c r="S613" s="112" t="str">
        <f t="shared" si="150"/>
        <v/>
      </c>
      <c r="T613" s="112" t="str">
        <f t="shared" si="151"/>
        <v/>
      </c>
      <c r="U613" s="112" t="str">
        <f t="shared" si="152"/>
        <v/>
      </c>
      <c r="V613" s="112" t="str">
        <f t="shared" si="153"/>
        <v/>
      </c>
      <c r="W613" s="112" t="str">
        <f t="shared" si="154"/>
        <v/>
      </c>
      <c r="X613" s="112" t="str">
        <f t="shared" si="148"/>
        <v/>
      </c>
      <c r="Y613" s="112" t="str">
        <f t="shared" si="149"/>
        <v/>
      </c>
      <c r="Z613" s="112" t="str">
        <f t="shared" si="155"/>
        <v/>
      </c>
      <c r="AA613" s="112" t="str">
        <f t="shared" si="156"/>
        <v/>
      </c>
      <c r="AB613" s="112" t="str">
        <f t="shared" si="157"/>
        <v/>
      </c>
      <c r="AC613" s="112" t="str">
        <f t="shared" si="158"/>
        <v/>
      </c>
      <c r="AD613" s="112" t="str">
        <f t="shared" si="159"/>
        <v/>
      </c>
    </row>
    <row r="614" spans="1:30" x14ac:dyDescent="0.2">
      <c r="A614" s="112" t="str">
        <f>IF(SUM(Q614:R614)=1,1+MAX($A$1:A613),"")</f>
        <v/>
      </c>
      <c r="B614" s="112" t="str">
        <f>IF(SUM(X614:Y614)=1,1+MAX($B$1:B613),"")</f>
        <v/>
      </c>
      <c r="C614" s="112" t="str">
        <f>IF(SUM(Q614:R614,X614:Y614)=2,1+MAX($C$1:C613),"")</f>
        <v/>
      </c>
      <c r="D614" s="113">
        <v>27210</v>
      </c>
      <c r="E614" s="112">
        <v>1974</v>
      </c>
      <c r="F614" s="112" t="s">
        <v>2689</v>
      </c>
      <c r="G614" s="112" t="s">
        <v>2690</v>
      </c>
      <c r="H614" s="114" t="s">
        <v>2714</v>
      </c>
      <c r="I614" s="112">
        <f t="shared" si="144"/>
        <v>0</v>
      </c>
      <c r="J614" s="112">
        <f t="shared" si="145"/>
        <v>2</v>
      </c>
      <c r="K614" s="115" t="s">
        <v>2604</v>
      </c>
      <c r="L614" s="115" t="s">
        <v>3090</v>
      </c>
      <c r="M614" s="115" t="s">
        <v>3093</v>
      </c>
      <c r="N614" s="115">
        <v>67148</v>
      </c>
      <c r="O614" s="112">
        <v>2</v>
      </c>
      <c r="P614" s="116" t="s">
        <v>2687</v>
      </c>
      <c r="Q614" s="112" t="str">
        <f t="shared" si="146"/>
        <v/>
      </c>
      <c r="R614" s="112" t="str">
        <f t="shared" si="147"/>
        <v/>
      </c>
      <c r="S614" s="112" t="str">
        <f t="shared" si="150"/>
        <v/>
      </c>
      <c r="T614" s="112" t="str">
        <f t="shared" si="151"/>
        <v/>
      </c>
      <c r="U614" s="112" t="str">
        <f t="shared" si="152"/>
        <v/>
      </c>
      <c r="V614" s="112" t="str">
        <f t="shared" si="153"/>
        <v/>
      </c>
      <c r="W614" s="112" t="str">
        <f t="shared" si="154"/>
        <v/>
      </c>
      <c r="X614" s="112" t="str">
        <f t="shared" si="148"/>
        <v/>
      </c>
      <c r="Y614" s="112" t="str">
        <f t="shared" si="149"/>
        <v/>
      </c>
      <c r="Z614" s="112" t="str">
        <f t="shared" si="155"/>
        <v/>
      </c>
      <c r="AA614" s="112" t="str">
        <f t="shared" si="156"/>
        <v/>
      </c>
      <c r="AB614" s="112" t="str">
        <f t="shared" si="157"/>
        <v/>
      </c>
      <c r="AC614" s="112" t="str">
        <f t="shared" si="158"/>
        <v/>
      </c>
      <c r="AD614" s="112" t="str">
        <f t="shared" si="159"/>
        <v/>
      </c>
    </row>
    <row r="615" spans="1:30" x14ac:dyDescent="0.2">
      <c r="A615" s="112" t="str">
        <f>IF(SUM(Q615:R615)=1,1+MAX($A$1:A614),"")</f>
        <v/>
      </c>
      <c r="B615" s="112">
        <f>IF(SUM(X615:Y615)=1,1+MAX($B$1:B614),"")</f>
        <v>63</v>
      </c>
      <c r="C615" s="112" t="str">
        <f>IF(SUM(Q615:R615,X615:Y615)=2,1+MAX($C$1:C614),"")</f>
        <v/>
      </c>
      <c r="D615" s="113">
        <v>27210</v>
      </c>
      <c r="E615" s="112">
        <v>1974</v>
      </c>
      <c r="F615" s="112" t="s">
        <v>2689</v>
      </c>
      <c r="G615" s="112" t="s">
        <v>2690</v>
      </c>
      <c r="H615" s="114" t="s">
        <v>1134</v>
      </c>
      <c r="I615" s="112">
        <f t="shared" si="144"/>
        <v>1</v>
      </c>
      <c r="J615" s="112">
        <f t="shared" si="145"/>
        <v>2</v>
      </c>
      <c r="K615" s="115" t="s">
        <v>1442</v>
      </c>
      <c r="L615" s="115" t="s">
        <v>2776</v>
      </c>
      <c r="M615" s="115" t="s">
        <v>3094</v>
      </c>
      <c r="N615" s="115">
        <v>38000</v>
      </c>
      <c r="O615" s="112">
        <v>2</v>
      </c>
      <c r="P615" s="116" t="s">
        <v>2638</v>
      </c>
      <c r="Q615" s="112" t="str">
        <f t="shared" si="146"/>
        <v/>
      </c>
      <c r="R615" s="112" t="str">
        <f t="shared" si="147"/>
        <v/>
      </c>
      <c r="S615" s="112" t="str">
        <f t="shared" si="150"/>
        <v/>
      </c>
      <c r="T615" s="112" t="str">
        <f t="shared" si="151"/>
        <v/>
      </c>
      <c r="U615" s="112" t="str">
        <f t="shared" si="152"/>
        <v/>
      </c>
      <c r="V615" s="112" t="str">
        <f t="shared" si="153"/>
        <v/>
      </c>
      <c r="W615" s="112" t="str">
        <f t="shared" si="154"/>
        <v/>
      </c>
      <c r="X615" s="112">
        <f t="shared" si="148"/>
        <v>1</v>
      </c>
      <c r="Y615" s="112" t="str">
        <f t="shared" si="149"/>
        <v/>
      </c>
      <c r="Z615" s="112">
        <f t="shared" si="155"/>
        <v>0</v>
      </c>
      <c r="AA615" s="112">
        <f t="shared" si="156"/>
        <v>0</v>
      </c>
      <c r="AB615" s="112">
        <f t="shared" si="157"/>
        <v>1</v>
      </c>
      <c r="AC615" s="112">
        <f t="shared" si="158"/>
        <v>3</v>
      </c>
      <c r="AD615" s="112">
        <f t="shared" si="159"/>
        <v>-1</v>
      </c>
    </row>
    <row r="616" spans="1:30" x14ac:dyDescent="0.2">
      <c r="A616" s="112" t="str">
        <f>IF(SUM(Q616:R616)=1,1+MAX($A$1:A615),"")</f>
        <v/>
      </c>
      <c r="B616" s="112" t="str">
        <f>IF(SUM(X616:Y616)=1,1+MAX($B$1:B615),"")</f>
        <v/>
      </c>
      <c r="C616" s="112" t="str">
        <f>IF(SUM(Q616:R616,X616:Y616)=2,1+MAX($C$1:C615),"")</f>
        <v/>
      </c>
      <c r="D616" s="113">
        <v>27206</v>
      </c>
      <c r="E616" s="112">
        <v>1974</v>
      </c>
      <c r="F616" s="112" t="s">
        <v>2684</v>
      </c>
      <c r="G616" s="112" t="s">
        <v>2685</v>
      </c>
      <c r="H616" s="114" t="s">
        <v>2544</v>
      </c>
      <c r="I616" s="112">
        <f t="shared" si="144"/>
        <v>1</v>
      </c>
      <c r="J616" s="112">
        <f t="shared" si="145"/>
        <v>0</v>
      </c>
      <c r="K616" s="115" t="s">
        <v>2549</v>
      </c>
      <c r="L616" s="115" t="s">
        <v>2765</v>
      </c>
      <c r="M616" s="115" t="s">
        <v>3069</v>
      </c>
      <c r="N616" s="115">
        <v>43755</v>
      </c>
      <c r="O616" s="112">
        <v>2</v>
      </c>
      <c r="P616" s="116" t="s">
        <v>2622</v>
      </c>
      <c r="Q616" s="112" t="str">
        <f t="shared" si="146"/>
        <v/>
      </c>
      <c r="R616" s="112" t="str">
        <f t="shared" si="147"/>
        <v/>
      </c>
      <c r="S616" s="112" t="str">
        <f t="shared" si="150"/>
        <v/>
      </c>
      <c r="T616" s="112" t="str">
        <f t="shared" si="151"/>
        <v/>
      </c>
      <c r="U616" s="112" t="str">
        <f t="shared" si="152"/>
        <v/>
      </c>
      <c r="V616" s="112" t="str">
        <f t="shared" si="153"/>
        <v/>
      </c>
      <c r="W616" s="112" t="str">
        <f t="shared" si="154"/>
        <v/>
      </c>
      <c r="X616" s="112" t="str">
        <f t="shared" si="148"/>
        <v/>
      </c>
      <c r="Y616" s="112" t="str">
        <f t="shared" si="149"/>
        <v/>
      </c>
      <c r="Z616" s="112" t="str">
        <f t="shared" si="155"/>
        <v/>
      </c>
      <c r="AA616" s="112" t="str">
        <f t="shared" si="156"/>
        <v/>
      </c>
      <c r="AB616" s="112" t="str">
        <f t="shared" si="157"/>
        <v/>
      </c>
      <c r="AC616" s="112" t="str">
        <f t="shared" si="158"/>
        <v/>
      </c>
      <c r="AD616" s="112" t="str">
        <f t="shared" si="159"/>
        <v/>
      </c>
    </row>
    <row r="617" spans="1:30" x14ac:dyDescent="0.2">
      <c r="A617" s="112" t="str">
        <f>IF(SUM(Q617:R617)=1,1+MAX($A$1:A616),"")</f>
        <v/>
      </c>
      <c r="B617" s="112" t="str">
        <f>IF(SUM(X617:Y617)=1,1+MAX($B$1:B616),"")</f>
        <v/>
      </c>
      <c r="C617" s="112" t="str">
        <f>IF(SUM(Q617:R617,X617:Y617)=2,1+MAX($C$1:C616),"")</f>
        <v/>
      </c>
      <c r="D617" s="113">
        <v>27206</v>
      </c>
      <c r="E617" s="112">
        <v>1974</v>
      </c>
      <c r="F617" s="112" t="s">
        <v>2684</v>
      </c>
      <c r="G617" s="112" t="s">
        <v>2685</v>
      </c>
      <c r="H617" s="114" t="s">
        <v>2547</v>
      </c>
      <c r="I617" s="112">
        <f t="shared" si="144"/>
        <v>2</v>
      </c>
      <c r="J617" s="112">
        <f t="shared" si="145"/>
        <v>0</v>
      </c>
      <c r="K617" s="115" t="s">
        <v>2862</v>
      </c>
      <c r="L617" s="115" t="s">
        <v>3087</v>
      </c>
      <c r="M617" s="115" t="s">
        <v>3095</v>
      </c>
      <c r="N617" s="115">
        <v>66085</v>
      </c>
      <c r="O617" s="112">
        <v>2</v>
      </c>
      <c r="P617" s="116" t="s">
        <v>2641</v>
      </c>
      <c r="Q617" s="112" t="str">
        <f t="shared" si="146"/>
        <v/>
      </c>
      <c r="R617" s="112" t="str">
        <f t="shared" si="147"/>
        <v/>
      </c>
      <c r="S617" s="112" t="str">
        <f t="shared" si="150"/>
        <v/>
      </c>
      <c r="T617" s="112" t="str">
        <f t="shared" si="151"/>
        <v/>
      </c>
      <c r="U617" s="112" t="str">
        <f t="shared" si="152"/>
        <v/>
      </c>
      <c r="V617" s="112" t="str">
        <f t="shared" si="153"/>
        <v/>
      </c>
      <c r="W617" s="112" t="str">
        <f t="shared" si="154"/>
        <v/>
      </c>
      <c r="X617" s="112" t="str">
        <f t="shared" si="148"/>
        <v/>
      </c>
      <c r="Y617" s="112" t="str">
        <f t="shared" si="149"/>
        <v/>
      </c>
      <c r="Z617" s="112" t="str">
        <f t="shared" si="155"/>
        <v/>
      </c>
      <c r="AA617" s="112" t="str">
        <f t="shared" si="156"/>
        <v/>
      </c>
      <c r="AB617" s="112" t="str">
        <f t="shared" si="157"/>
        <v/>
      </c>
      <c r="AC617" s="112" t="str">
        <f t="shared" si="158"/>
        <v/>
      </c>
      <c r="AD617" s="112" t="str">
        <f t="shared" si="159"/>
        <v/>
      </c>
    </row>
    <row r="618" spans="1:30" x14ac:dyDescent="0.2">
      <c r="A618" s="112" t="str">
        <f>IF(SUM(Q618:R618)=1,1+MAX($A$1:A617),"")</f>
        <v/>
      </c>
      <c r="B618" s="112" t="str">
        <f>IF(SUM(X618:Y618)=1,1+MAX($B$1:B617),"")</f>
        <v/>
      </c>
      <c r="C618" s="112" t="str">
        <f>IF(SUM(Q618:R618,X618:Y618)=2,1+MAX($C$1:C617),"")</f>
        <v/>
      </c>
      <c r="D618" s="113">
        <v>27206</v>
      </c>
      <c r="E618" s="112">
        <v>1974</v>
      </c>
      <c r="F618" s="112" t="s">
        <v>2689</v>
      </c>
      <c r="G618" s="112" t="s">
        <v>2690</v>
      </c>
      <c r="H618" s="114" t="s">
        <v>1442</v>
      </c>
      <c r="I618" s="112">
        <f t="shared" si="144"/>
        <v>1</v>
      </c>
      <c r="J618" s="112">
        <f t="shared" si="145"/>
        <v>0</v>
      </c>
      <c r="K618" s="115" t="s">
        <v>2714</v>
      </c>
      <c r="L618" s="115" t="s">
        <v>2776</v>
      </c>
      <c r="M618" s="115" t="s">
        <v>3083</v>
      </c>
      <c r="N618" s="115">
        <v>58463</v>
      </c>
      <c r="O618" s="112">
        <v>2</v>
      </c>
      <c r="P618" s="116" t="s">
        <v>2622</v>
      </c>
      <c r="Q618" s="112" t="str">
        <f t="shared" si="146"/>
        <v/>
      </c>
      <c r="R618" s="112" t="str">
        <f t="shared" si="147"/>
        <v/>
      </c>
      <c r="S618" s="112" t="str">
        <f t="shared" si="150"/>
        <v/>
      </c>
      <c r="T618" s="112" t="str">
        <f t="shared" si="151"/>
        <v/>
      </c>
      <c r="U618" s="112" t="str">
        <f t="shared" si="152"/>
        <v/>
      </c>
      <c r="V618" s="112" t="str">
        <f t="shared" si="153"/>
        <v/>
      </c>
      <c r="W618" s="112" t="str">
        <f t="shared" si="154"/>
        <v/>
      </c>
      <c r="X618" s="112" t="str">
        <f t="shared" si="148"/>
        <v/>
      </c>
      <c r="Y618" s="112" t="str">
        <f t="shared" si="149"/>
        <v/>
      </c>
      <c r="Z618" s="112" t="str">
        <f t="shared" si="155"/>
        <v/>
      </c>
      <c r="AA618" s="112" t="str">
        <f t="shared" si="156"/>
        <v/>
      </c>
      <c r="AB618" s="112" t="str">
        <f t="shared" si="157"/>
        <v/>
      </c>
      <c r="AC618" s="112" t="str">
        <f t="shared" si="158"/>
        <v/>
      </c>
      <c r="AD618" s="112" t="str">
        <f t="shared" si="159"/>
        <v/>
      </c>
    </row>
    <row r="619" spans="1:30" x14ac:dyDescent="0.2">
      <c r="A619" s="112" t="str">
        <f>IF(SUM(Q619:R619)=1,1+MAX($A$1:A618),"")</f>
        <v/>
      </c>
      <c r="B619" s="112">
        <f>IF(SUM(X619:Y619)=1,1+MAX($B$1:B618),"")</f>
        <v>64</v>
      </c>
      <c r="C619" s="112" t="str">
        <f>IF(SUM(Q619:R619,X619:Y619)=2,1+MAX($C$1:C618),"")</f>
        <v/>
      </c>
      <c r="D619" s="113">
        <v>27206</v>
      </c>
      <c r="E619" s="112">
        <v>1974</v>
      </c>
      <c r="F619" s="112" t="s">
        <v>2689</v>
      </c>
      <c r="G619" s="112" t="s">
        <v>2690</v>
      </c>
      <c r="H619" s="114" t="s">
        <v>1134</v>
      </c>
      <c r="I619" s="112">
        <f t="shared" si="144"/>
        <v>0</v>
      </c>
      <c r="J619" s="112">
        <f t="shared" si="145"/>
        <v>4</v>
      </c>
      <c r="K619" s="115" t="s">
        <v>2604</v>
      </c>
      <c r="L619" s="115" t="s">
        <v>3090</v>
      </c>
      <c r="M619" s="115" t="s">
        <v>3096</v>
      </c>
      <c r="N619" s="115">
        <v>55348</v>
      </c>
      <c r="O619" s="112">
        <v>2</v>
      </c>
      <c r="P619" s="116" t="s">
        <v>2708</v>
      </c>
      <c r="Q619" s="112" t="str">
        <f t="shared" si="146"/>
        <v/>
      </c>
      <c r="R619" s="112" t="str">
        <f t="shared" si="147"/>
        <v/>
      </c>
      <c r="S619" s="112" t="str">
        <f t="shared" si="150"/>
        <v/>
      </c>
      <c r="T619" s="112" t="str">
        <f t="shared" si="151"/>
        <v/>
      </c>
      <c r="U619" s="112" t="str">
        <f t="shared" si="152"/>
        <v/>
      </c>
      <c r="V619" s="112" t="str">
        <f t="shared" si="153"/>
        <v/>
      </c>
      <c r="W619" s="112" t="str">
        <f t="shared" si="154"/>
        <v/>
      </c>
      <c r="X619" s="112">
        <f t="shared" si="148"/>
        <v>1</v>
      </c>
      <c r="Y619" s="112" t="str">
        <f t="shared" si="149"/>
        <v/>
      </c>
      <c r="Z619" s="112">
        <f t="shared" si="155"/>
        <v>0</v>
      </c>
      <c r="AA619" s="112">
        <f t="shared" si="156"/>
        <v>0</v>
      </c>
      <c r="AB619" s="112">
        <f t="shared" si="157"/>
        <v>1</v>
      </c>
      <c r="AC619" s="112">
        <f t="shared" si="158"/>
        <v>4</v>
      </c>
      <c r="AD619" s="112">
        <f t="shared" si="159"/>
        <v>-4</v>
      </c>
    </row>
    <row r="620" spans="1:30" x14ac:dyDescent="0.2">
      <c r="A620" s="112" t="str">
        <f>IF(SUM(Q620:R620)=1,1+MAX($A$1:A619),"")</f>
        <v/>
      </c>
      <c r="B620" s="112">
        <f>IF(SUM(X620:Y620)=1,1+MAX($B$1:B619),"")</f>
        <v>65</v>
      </c>
      <c r="C620" s="112" t="str">
        <f>IF(SUM(Q620:R620,X620:Y620)=2,1+MAX($C$1:C619),"")</f>
        <v/>
      </c>
      <c r="D620" s="113">
        <v>27203</v>
      </c>
      <c r="E620" s="112">
        <v>1974</v>
      </c>
      <c r="F620" s="118" t="s">
        <v>3060</v>
      </c>
      <c r="H620" s="114" t="s">
        <v>1134</v>
      </c>
      <c r="I620" s="112">
        <f t="shared" si="144"/>
        <v>4</v>
      </c>
      <c r="J620" s="112">
        <f t="shared" si="145"/>
        <v>1</v>
      </c>
      <c r="K620" s="115" t="s">
        <v>2671</v>
      </c>
      <c r="L620" s="115" t="s">
        <v>2763</v>
      </c>
      <c r="N620" s="115">
        <v>25900</v>
      </c>
      <c r="O620" s="112">
        <v>2</v>
      </c>
      <c r="P620" s="116" t="s">
        <v>2683</v>
      </c>
      <c r="Q620" s="112" t="str">
        <f t="shared" si="146"/>
        <v/>
      </c>
      <c r="R620" s="112" t="str">
        <f t="shared" si="147"/>
        <v/>
      </c>
      <c r="S620" s="112" t="str">
        <f t="shared" si="150"/>
        <v/>
      </c>
      <c r="T620" s="112" t="str">
        <f t="shared" si="151"/>
        <v/>
      </c>
      <c r="U620" s="112" t="str">
        <f t="shared" si="152"/>
        <v/>
      </c>
      <c r="V620" s="112" t="str">
        <f t="shared" si="153"/>
        <v/>
      </c>
      <c r="W620" s="112" t="str">
        <f t="shared" si="154"/>
        <v/>
      </c>
      <c r="X620" s="112">
        <f t="shared" si="148"/>
        <v>1</v>
      </c>
      <c r="Y620" s="112" t="str">
        <f t="shared" si="149"/>
        <v/>
      </c>
      <c r="Z620" s="112">
        <f t="shared" si="155"/>
        <v>1</v>
      </c>
      <c r="AA620" s="112">
        <f t="shared" si="156"/>
        <v>0</v>
      </c>
      <c r="AB620" s="112">
        <f t="shared" si="157"/>
        <v>0</v>
      </c>
      <c r="AC620" s="112">
        <f t="shared" si="158"/>
        <v>5</v>
      </c>
      <c r="AD620" s="112">
        <f t="shared" si="159"/>
        <v>3</v>
      </c>
    </row>
    <row r="621" spans="1:30" x14ac:dyDescent="0.2">
      <c r="A621" s="112" t="str">
        <f>IF(SUM(Q621:R621)=1,1+MAX($A$1:A620),"")</f>
        <v/>
      </c>
      <c r="B621" s="112" t="str">
        <f>IF(SUM(X621:Y621)=1,1+MAX($B$1:B620),"")</f>
        <v/>
      </c>
      <c r="C621" s="112" t="str">
        <f>IF(SUM(Q621:R621,X621:Y621)=2,1+MAX($C$1:C620),"")</f>
        <v/>
      </c>
      <c r="D621" s="113">
        <v>27203</v>
      </c>
      <c r="E621" s="112">
        <v>1974</v>
      </c>
      <c r="F621" s="118" t="s">
        <v>3060</v>
      </c>
      <c r="H621" s="114" t="s">
        <v>2674</v>
      </c>
      <c r="I621" s="112">
        <f t="shared" si="144"/>
        <v>1</v>
      </c>
      <c r="J621" s="112">
        <f t="shared" si="145"/>
        <v>2</v>
      </c>
      <c r="K621" s="115" t="s">
        <v>2544</v>
      </c>
      <c r="L621" s="115" t="s">
        <v>2765</v>
      </c>
      <c r="N621" s="115">
        <v>70100</v>
      </c>
      <c r="O621" s="112">
        <v>1</v>
      </c>
      <c r="P621" s="116" t="s">
        <v>2638</v>
      </c>
      <c r="Q621" s="112" t="str">
        <f t="shared" si="146"/>
        <v/>
      </c>
      <c r="R621" s="112" t="str">
        <f t="shared" si="147"/>
        <v/>
      </c>
      <c r="S621" s="112" t="str">
        <f t="shared" si="150"/>
        <v/>
      </c>
      <c r="T621" s="112" t="str">
        <f t="shared" si="151"/>
        <v/>
      </c>
      <c r="U621" s="112" t="str">
        <f t="shared" si="152"/>
        <v/>
      </c>
      <c r="V621" s="112" t="str">
        <f t="shared" si="153"/>
        <v/>
      </c>
      <c r="W621" s="112" t="str">
        <f t="shared" si="154"/>
        <v/>
      </c>
      <c r="X621" s="112" t="str">
        <f t="shared" si="148"/>
        <v/>
      </c>
      <c r="Y621" s="112" t="str">
        <f t="shared" si="149"/>
        <v/>
      </c>
      <c r="Z621" s="112" t="str">
        <f t="shared" si="155"/>
        <v/>
      </c>
      <c r="AA621" s="112" t="str">
        <f t="shared" si="156"/>
        <v/>
      </c>
      <c r="AB621" s="112" t="str">
        <f t="shared" si="157"/>
        <v/>
      </c>
      <c r="AC621" s="112" t="str">
        <f t="shared" si="158"/>
        <v/>
      </c>
      <c r="AD621" s="112" t="str">
        <f t="shared" si="159"/>
        <v/>
      </c>
    </row>
    <row r="622" spans="1:30" x14ac:dyDescent="0.2">
      <c r="A622" s="112" t="str">
        <f>IF(SUM(Q622:R622)=1,1+MAX($A$1:A621),"")</f>
        <v/>
      </c>
      <c r="B622" s="112" t="str">
        <f>IF(SUM(X622:Y622)=1,1+MAX($B$1:B621),"")</f>
        <v/>
      </c>
      <c r="C622" s="112" t="str">
        <f>IF(SUM(Q622:R622,X622:Y622)=2,1+MAX($C$1:C621),"")</f>
        <v/>
      </c>
      <c r="D622" s="113">
        <v>27203</v>
      </c>
      <c r="E622" s="112">
        <v>1974</v>
      </c>
      <c r="F622" s="118" t="s">
        <v>3060</v>
      </c>
      <c r="H622" s="114" t="s">
        <v>2549</v>
      </c>
      <c r="I622" s="112">
        <f t="shared" si="144"/>
        <v>3</v>
      </c>
      <c r="J622" s="112">
        <f t="shared" si="145"/>
        <v>0</v>
      </c>
      <c r="K622" s="115" t="s">
        <v>2540</v>
      </c>
      <c r="L622" s="115" t="s">
        <v>3087</v>
      </c>
      <c r="N622" s="115">
        <v>28300</v>
      </c>
      <c r="O622" s="112">
        <v>2</v>
      </c>
      <c r="P622" s="116" t="s">
        <v>2713</v>
      </c>
      <c r="Q622" s="112" t="str">
        <f t="shared" si="146"/>
        <v/>
      </c>
      <c r="R622" s="112" t="str">
        <f t="shared" si="147"/>
        <v/>
      </c>
      <c r="S622" s="112" t="str">
        <f t="shared" si="150"/>
        <v/>
      </c>
      <c r="T622" s="112" t="str">
        <f t="shared" si="151"/>
        <v/>
      </c>
      <c r="U622" s="112" t="str">
        <f t="shared" si="152"/>
        <v/>
      </c>
      <c r="V622" s="112" t="str">
        <f t="shared" si="153"/>
        <v/>
      </c>
      <c r="W622" s="112" t="str">
        <f t="shared" si="154"/>
        <v/>
      </c>
      <c r="X622" s="112" t="str">
        <f t="shared" si="148"/>
        <v/>
      </c>
      <c r="Y622" s="112" t="str">
        <f t="shared" si="149"/>
        <v/>
      </c>
      <c r="Z622" s="112" t="str">
        <f t="shared" si="155"/>
        <v/>
      </c>
      <c r="AA622" s="112" t="str">
        <f t="shared" si="156"/>
        <v/>
      </c>
      <c r="AB622" s="112" t="str">
        <f t="shared" si="157"/>
        <v/>
      </c>
      <c r="AC622" s="112" t="str">
        <f t="shared" si="158"/>
        <v/>
      </c>
      <c r="AD622" s="112" t="str">
        <f t="shared" si="159"/>
        <v/>
      </c>
    </row>
    <row r="623" spans="1:30" x14ac:dyDescent="0.2">
      <c r="A623" s="112" t="str">
        <f>IF(SUM(Q623:R623)=1,1+MAX($A$1:A622),"")</f>
        <v/>
      </c>
      <c r="B623" s="112" t="str">
        <f>IF(SUM(X623:Y623)=1,1+MAX($B$1:B622),"")</f>
        <v/>
      </c>
      <c r="C623" s="112" t="str">
        <f>IF(SUM(Q623:R623,X623:Y623)=2,1+MAX($C$1:C622),"")</f>
        <v/>
      </c>
      <c r="D623" s="113">
        <v>27203</v>
      </c>
      <c r="E623" s="112">
        <v>1974</v>
      </c>
      <c r="F623" s="118" t="s">
        <v>3060</v>
      </c>
      <c r="H623" s="114" t="s">
        <v>2631</v>
      </c>
      <c r="I623" s="112">
        <f t="shared" si="144"/>
        <v>1</v>
      </c>
      <c r="J623" s="112">
        <f t="shared" si="145"/>
        <v>4</v>
      </c>
      <c r="K623" s="115" t="s">
        <v>2604</v>
      </c>
      <c r="L623" s="115" t="s">
        <v>2768</v>
      </c>
      <c r="N623" s="115">
        <v>53300</v>
      </c>
      <c r="O623" s="112">
        <v>1</v>
      </c>
      <c r="P623" s="116" t="s">
        <v>2743</v>
      </c>
      <c r="Q623" s="112" t="str">
        <f t="shared" si="146"/>
        <v/>
      </c>
      <c r="R623" s="112" t="str">
        <f t="shared" si="147"/>
        <v/>
      </c>
      <c r="S623" s="112" t="str">
        <f t="shared" si="150"/>
        <v/>
      </c>
      <c r="T623" s="112" t="str">
        <f t="shared" si="151"/>
        <v/>
      </c>
      <c r="U623" s="112" t="str">
        <f t="shared" si="152"/>
        <v/>
      </c>
      <c r="V623" s="112" t="str">
        <f t="shared" si="153"/>
        <v/>
      </c>
      <c r="W623" s="112" t="str">
        <f t="shared" si="154"/>
        <v/>
      </c>
      <c r="X623" s="112" t="str">
        <f t="shared" si="148"/>
        <v/>
      </c>
      <c r="Y623" s="112" t="str">
        <f t="shared" si="149"/>
        <v/>
      </c>
      <c r="Z623" s="112" t="str">
        <f t="shared" si="155"/>
        <v/>
      </c>
      <c r="AA623" s="112" t="str">
        <f t="shared" si="156"/>
        <v/>
      </c>
      <c r="AB623" s="112" t="str">
        <f t="shared" si="157"/>
        <v/>
      </c>
      <c r="AC623" s="112" t="str">
        <f t="shared" si="158"/>
        <v/>
      </c>
      <c r="AD623" s="112" t="str">
        <f t="shared" si="159"/>
        <v/>
      </c>
    </row>
    <row r="624" spans="1:30" x14ac:dyDescent="0.2">
      <c r="A624" s="112" t="str">
        <f>IF(SUM(Q624:R624)=1,1+MAX($A$1:A623),"")</f>
        <v/>
      </c>
      <c r="B624" s="112" t="str">
        <f>IF(SUM(X624:Y624)=1,1+MAX($B$1:B623),"")</f>
        <v/>
      </c>
      <c r="C624" s="112" t="str">
        <f>IF(SUM(Q624:R624,X624:Y624)=2,1+MAX($C$1:C623),"")</f>
        <v/>
      </c>
      <c r="D624" s="113">
        <v>27202</v>
      </c>
      <c r="E624" s="112">
        <v>1974</v>
      </c>
      <c r="F624" s="118" t="s">
        <v>3060</v>
      </c>
      <c r="H624" s="114" t="s">
        <v>1442</v>
      </c>
      <c r="I624" s="112">
        <f t="shared" si="144"/>
        <v>3</v>
      </c>
      <c r="J624" s="112">
        <f t="shared" si="145"/>
        <v>0</v>
      </c>
      <c r="K624" s="115" t="s">
        <v>2700</v>
      </c>
      <c r="L624" s="115" t="s">
        <v>3090</v>
      </c>
      <c r="N624" s="115">
        <v>36200</v>
      </c>
      <c r="O624" s="112">
        <v>1</v>
      </c>
      <c r="P624" s="116" t="s">
        <v>2713</v>
      </c>
      <c r="Q624" s="112" t="str">
        <f t="shared" si="146"/>
        <v/>
      </c>
      <c r="R624" s="112" t="str">
        <f t="shared" si="147"/>
        <v/>
      </c>
      <c r="S624" s="112" t="str">
        <f t="shared" si="150"/>
        <v/>
      </c>
      <c r="T624" s="112" t="str">
        <f t="shared" si="151"/>
        <v/>
      </c>
      <c r="U624" s="112" t="str">
        <f t="shared" si="152"/>
        <v/>
      </c>
      <c r="V624" s="112" t="str">
        <f t="shared" si="153"/>
        <v/>
      </c>
      <c r="W624" s="112" t="str">
        <f t="shared" si="154"/>
        <v/>
      </c>
      <c r="X624" s="112" t="str">
        <f t="shared" si="148"/>
        <v/>
      </c>
      <c r="Y624" s="112" t="str">
        <f t="shared" si="149"/>
        <v/>
      </c>
      <c r="Z624" s="112" t="str">
        <f t="shared" si="155"/>
        <v/>
      </c>
      <c r="AA624" s="112" t="str">
        <f t="shared" si="156"/>
        <v/>
      </c>
      <c r="AB624" s="112" t="str">
        <f t="shared" si="157"/>
        <v/>
      </c>
      <c r="AC624" s="112" t="str">
        <f t="shared" si="158"/>
        <v/>
      </c>
      <c r="AD624" s="112" t="str">
        <f t="shared" si="159"/>
        <v/>
      </c>
    </row>
    <row r="625" spans="1:30" x14ac:dyDescent="0.2">
      <c r="A625" s="112" t="str">
        <f>IF(SUM(Q625:R625)=1,1+MAX($A$1:A624),"")</f>
        <v/>
      </c>
      <c r="B625" s="112" t="str">
        <f>IF(SUM(X625:Y625)=1,1+MAX($B$1:B624),"")</f>
        <v/>
      </c>
      <c r="C625" s="112" t="str">
        <f>IF(SUM(Q625:R625,X625:Y625)=2,1+MAX($C$1:C624),"")</f>
        <v/>
      </c>
      <c r="D625" s="113">
        <v>27202</v>
      </c>
      <c r="E625" s="112">
        <v>1974</v>
      </c>
      <c r="F625" s="118" t="s">
        <v>3060</v>
      </c>
      <c r="H625" s="114" t="s">
        <v>2717</v>
      </c>
      <c r="I625" s="112">
        <f t="shared" si="144"/>
        <v>1</v>
      </c>
      <c r="J625" s="112">
        <f t="shared" si="145"/>
        <v>1</v>
      </c>
      <c r="K625" s="115" t="s">
        <v>2862</v>
      </c>
      <c r="L625" s="115" t="s">
        <v>3097</v>
      </c>
      <c r="N625" s="115">
        <v>56000</v>
      </c>
      <c r="O625" s="112">
        <v>1</v>
      </c>
      <c r="P625" s="116" t="s">
        <v>2645</v>
      </c>
      <c r="Q625" s="112" t="str">
        <f t="shared" si="146"/>
        <v/>
      </c>
      <c r="R625" s="112" t="str">
        <f t="shared" si="147"/>
        <v/>
      </c>
      <c r="S625" s="112" t="str">
        <f t="shared" si="150"/>
        <v/>
      </c>
      <c r="T625" s="112" t="str">
        <f t="shared" si="151"/>
        <v/>
      </c>
      <c r="U625" s="112" t="str">
        <f t="shared" si="152"/>
        <v/>
      </c>
      <c r="V625" s="112" t="str">
        <f t="shared" si="153"/>
        <v/>
      </c>
      <c r="W625" s="112" t="str">
        <f t="shared" si="154"/>
        <v/>
      </c>
      <c r="X625" s="112" t="str">
        <f t="shared" si="148"/>
        <v/>
      </c>
      <c r="Y625" s="112" t="str">
        <f t="shared" si="149"/>
        <v/>
      </c>
      <c r="Z625" s="112" t="str">
        <f t="shared" si="155"/>
        <v/>
      </c>
      <c r="AA625" s="112" t="str">
        <f t="shared" si="156"/>
        <v/>
      </c>
      <c r="AB625" s="112" t="str">
        <f t="shared" si="157"/>
        <v/>
      </c>
      <c r="AC625" s="112" t="str">
        <f t="shared" si="158"/>
        <v/>
      </c>
      <c r="AD625" s="112" t="str">
        <f t="shared" si="159"/>
        <v/>
      </c>
    </row>
    <row r="626" spans="1:30" x14ac:dyDescent="0.2">
      <c r="A626" s="112" t="str">
        <f>IF(SUM(Q626:R626)=1,1+MAX($A$1:A625),"")</f>
        <v/>
      </c>
      <c r="B626" s="112" t="str">
        <f>IF(SUM(X626:Y626)=1,1+MAX($B$1:B625),"")</f>
        <v/>
      </c>
      <c r="C626" s="112" t="str">
        <f>IF(SUM(Q626:R626,X626:Y626)=2,1+MAX($C$1:C625),"")</f>
        <v/>
      </c>
      <c r="D626" s="113">
        <v>27202</v>
      </c>
      <c r="E626" s="112">
        <v>1974</v>
      </c>
      <c r="F626" s="118" t="s">
        <v>3060</v>
      </c>
      <c r="H626" s="114" t="s">
        <v>2714</v>
      </c>
      <c r="I626" s="112">
        <f t="shared" si="144"/>
        <v>1</v>
      </c>
      <c r="J626" s="112">
        <f t="shared" si="145"/>
        <v>0</v>
      </c>
      <c r="K626" s="115" t="s">
        <v>2547</v>
      </c>
      <c r="L626" s="115" t="s">
        <v>2774</v>
      </c>
      <c r="N626" s="115">
        <v>60200</v>
      </c>
      <c r="O626" s="112">
        <v>1</v>
      </c>
      <c r="P626" s="116" t="s">
        <v>2622</v>
      </c>
      <c r="Q626" s="112" t="str">
        <f t="shared" si="146"/>
        <v/>
      </c>
      <c r="R626" s="112" t="str">
        <f t="shared" si="147"/>
        <v/>
      </c>
      <c r="S626" s="112" t="str">
        <f t="shared" si="150"/>
        <v/>
      </c>
      <c r="T626" s="112" t="str">
        <f t="shared" si="151"/>
        <v/>
      </c>
      <c r="U626" s="112" t="str">
        <f t="shared" si="152"/>
        <v/>
      </c>
      <c r="V626" s="112" t="str">
        <f t="shared" si="153"/>
        <v/>
      </c>
      <c r="W626" s="112" t="str">
        <f t="shared" si="154"/>
        <v/>
      </c>
      <c r="X626" s="112" t="str">
        <f t="shared" si="148"/>
        <v/>
      </c>
      <c r="Y626" s="112" t="str">
        <f t="shared" si="149"/>
        <v/>
      </c>
      <c r="Z626" s="112" t="str">
        <f t="shared" si="155"/>
        <v/>
      </c>
      <c r="AA626" s="112" t="str">
        <f t="shared" si="156"/>
        <v/>
      </c>
      <c r="AB626" s="112" t="str">
        <f t="shared" si="157"/>
        <v/>
      </c>
      <c r="AC626" s="112" t="str">
        <f t="shared" si="158"/>
        <v/>
      </c>
      <c r="AD626" s="112" t="str">
        <f t="shared" si="159"/>
        <v/>
      </c>
    </row>
    <row r="627" spans="1:30" x14ac:dyDescent="0.2">
      <c r="A627" s="112" t="str">
        <f>IF(SUM(Q627:R627)=1,1+MAX($A$1:A626),"")</f>
        <v/>
      </c>
      <c r="B627" s="112" t="str">
        <f>IF(SUM(X627:Y627)=1,1+MAX($B$1:B626),"")</f>
        <v/>
      </c>
      <c r="C627" s="112" t="str">
        <f>IF(SUM(Q627:R627,X627:Y627)=2,1+MAX($C$1:C626),"")</f>
        <v/>
      </c>
      <c r="D627" s="113">
        <v>27202</v>
      </c>
      <c r="E627" s="112">
        <v>1974</v>
      </c>
      <c r="F627" s="118" t="s">
        <v>3060</v>
      </c>
      <c r="H627" s="114" t="s">
        <v>1317</v>
      </c>
      <c r="I627" s="112">
        <f t="shared" si="144"/>
        <v>0</v>
      </c>
      <c r="J627" s="112">
        <f t="shared" si="145"/>
        <v>0</v>
      </c>
      <c r="K627" s="115" t="s">
        <v>2650</v>
      </c>
      <c r="L627" s="115" t="s">
        <v>2763</v>
      </c>
      <c r="N627" s="115">
        <v>17400</v>
      </c>
      <c r="O627" s="112">
        <v>1</v>
      </c>
      <c r="P627" s="116" t="s">
        <v>2613</v>
      </c>
      <c r="Q627" s="112" t="str">
        <f t="shared" si="146"/>
        <v/>
      </c>
      <c r="R627" s="112" t="str">
        <f t="shared" si="147"/>
        <v/>
      </c>
      <c r="S627" s="112" t="str">
        <f t="shared" si="150"/>
        <v/>
      </c>
      <c r="T627" s="112" t="str">
        <f t="shared" si="151"/>
        <v/>
      </c>
      <c r="U627" s="112" t="str">
        <f t="shared" si="152"/>
        <v/>
      </c>
      <c r="V627" s="112" t="str">
        <f t="shared" si="153"/>
        <v/>
      </c>
      <c r="W627" s="112" t="str">
        <f t="shared" si="154"/>
        <v/>
      </c>
      <c r="X627" s="112" t="str">
        <f t="shared" si="148"/>
        <v/>
      </c>
      <c r="Y627" s="112" t="str">
        <f t="shared" si="149"/>
        <v/>
      </c>
      <c r="Z627" s="112" t="str">
        <f t="shared" si="155"/>
        <v/>
      </c>
      <c r="AA627" s="112" t="str">
        <f t="shared" si="156"/>
        <v/>
      </c>
      <c r="AB627" s="112" t="str">
        <f t="shared" si="157"/>
        <v/>
      </c>
      <c r="AC627" s="112" t="str">
        <f t="shared" si="158"/>
        <v/>
      </c>
      <c r="AD627" s="112" t="str">
        <f t="shared" si="159"/>
        <v/>
      </c>
    </row>
    <row r="628" spans="1:30" x14ac:dyDescent="0.2">
      <c r="A628" s="112" t="str">
        <f>IF(SUM(Q628:R628)=1,1+MAX($A$1:A627),"")</f>
        <v/>
      </c>
      <c r="B628" s="112" t="str">
        <f>IF(SUM(X628:Y628)=1,1+MAX($B$1:B627),"")</f>
        <v/>
      </c>
      <c r="C628" s="112" t="str">
        <f>IF(SUM(Q628:R628,X628:Y628)=2,1+MAX($C$1:C627),"")</f>
        <v/>
      </c>
      <c r="D628" s="113">
        <v>27199</v>
      </c>
      <c r="E628" s="112">
        <v>1974</v>
      </c>
      <c r="F628" s="118" t="s">
        <v>3060</v>
      </c>
      <c r="H628" s="114" t="s">
        <v>2671</v>
      </c>
      <c r="I628" s="112">
        <f t="shared" si="144"/>
        <v>0</v>
      </c>
      <c r="J628" s="112">
        <f t="shared" si="145"/>
        <v>7</v>
      </c>
      <c r="K628" s="115" t="s">
        <v>2544</v>
      </c>
      <c r="L628" s="115" t="s">
        <v>2763</v>
      </c>
      <c r="N628" s="115">
        <v>25300</v>
      </c>
      <c r="O628" s="112">
        <v>2</v>
      </c>
      <c r="P628" s="116" t="s">
        <v>2754</v>
      </c>
      <c r="Q628" s="112" t="str">
        <f t="shared" si="146"/>
        <v/>
      </c>
      <c r="R628" s="112" t="str">
        <f t="shared" si="147"/>
        <v/>
      </c>
      <c r="S628" s="112" t="str">
        <f t="shared" si="150"/>
        <v/>
      </c>
      <c r="T628" s="112" t="str">
        <f t="shared" si="151"/>
        <v/>
      </c>
      <c r="U628" s="112" t="str">
        <f t="shared" si="152"/>
        <v/>
      </c>
      <c r="V628" s="112" t="str">
        <f t="shared" si="153"/>
        <v/>
      </c>
      <c r="W628" s="112" t="str">
        <f t="shared" si="154"/>
        <v/>
      </c>
      <c r="X628" s="112" t="str">
        <f t="shared" si="148"/>
        <v/>
      </c>
      <c r="Y628" s="112" t="str">
        <f t="shared" si="149"/>
        <v/>
      </c>
      <c r="Z628" s="112" t="str">
        <f t="shared" si="155"/>
        <v/>
      </c>
      <c r="AA628" s="112" t="str">
        <f t="shared" si="156"/>
        <v/>
      </c>
      <c r="AB628" s="112" t="str">
        <f t="shared" si="157"/>
        <v/>
      </c>
      <c r="AC628" s="112" t="str">
        <f t="shared" si="158"/>
        <v/>
      </c>
      <c r="AD628" s="112" t="str">
        <f t="shared" si="159"/>
        <v/>
      </c>
    </row>
    <row r="629" spans="1:30" x14ac:dyDescent="0.2">
      <c r="A629" s="112" t="str">
        <f>IF(SUM(Q629:R629)=1,1+MAX($A$1:A628),"")</f>
        <v/>
      </c>
      <c r="B629" s="112">
        <f>IF(SUM(X629:Y629)=1,1+MAX($B$1:B628),"")</f>
        <v>66</v>
      </c>
      <c r="C629" s="112" t="str">
        <f>IF(SUM(Q629:R629,X629:Y629)=2,1+MAX($C$1:C628),"")</f>
        <v/>
      </c>
      <c r="D629" s="113">
        <v>27199</v>
      </c>
      <c r="E629" s="112">
        <v>1974</v>
      </c>
      <c r="F629" s="118" t="s">
        <v>3060</v>
      </c>
      <c r="H629" s="114" t="s">
        <v>1134</v>
      </c>
      <c r="I629" s="112">
        <f t="shared" si="144"/>
        <v>1</v>
      </c>
      <c r="J629" s="112">
        <f t="shared" si="145"/>
        <v>1</v>
      </c>
      <c r="K629" s="115" t="s">
        <v>2674</v>
      </c>
      <c r="L629" s="115" t="s">
        <v>2765</v>
      </c>
      <c r="N629" s="115">
        <v>70100</v>
      </c>
      <c r="O629" s="112">
        <v>1</v>
      </c>
      <c r="P629" s="116" t="s">
        <v>2645</v>
      </c>
      <c r="Q629" s="112" t="str">
        <f t="shared" si="146"/>
        <v/>
      </c>
      <c r="R629" s="112" t="str">
        <f t="shared" si="147"/>
        <v/>
      </c>
      <c r="S629" s="112" t="str">
        <f t="shared" si="150"/>
        <v/>
      </c>
      <c r="T629" s="112" t="str">
        <f t="shared" si="151"/>
        <v/>
      </c>
      <c r="U629" s="112" t="str">
        <f t="shared" si="152"/>
        <v/>
      </c>
      <c r="V629" s="112" t="str">
        <f t="shared" si="153"/>
        <v/>
      </c>
      <c r="W629" s="112" t="str">
        <f t="shared" si="154"/>
        <v/>
      </c>
      <c r="X629" s="112">
        <f t="shared" si="148"/>
        <v>1</v>
      </c>
      <c r="Y629" s="112" t="str">
        <f t="shared" si="149"/>
        <v/>
      </c>
      <c r="Z629" s="112">
        <f t="shared" si="155"/>
        <v>0</v>
      </c>
      <c r="AA629" s="112">
        <f t="shared" si="156"/>
        <v>1</v>
      </c>
      <c r="AB629" s="112">
        <f t="shared" si="157"/>
        <v>0</v>
      </c>
      <c r="AC629" s="112">
        <f t="shared" si="158"/>
        <v>2</v>
      </c>
      <c r="AD629" s="112">
        <f t="shared" si="159"/>
        <v>0</v>
      </c>
    </row>
    <row r="630" spans="1:30" x14ac:dyDescent="0.2">
      <c r="A630" s="112" t="str">
        <f>IF(SUM(Q630:R630)=1,1+MAX($A$1:A629),"")</f>
        <v/>
      </c>
      <c r="B630" s="112" t="str">
        <f>IF(SUM(X630:Y630)=1,1+MAX($B$1:B629),"")</f>
        <v/>
      </c>
      <c r="C630" s="112" t="str">
        <f>IF(SUM(Q630:R630,X630:Y630)=2,1+MAX($C$1:C629),"")</f>
        <v/>
      </c>
      <c r="D630" s="113">
        <v>27199</v>
      </c>
      <c r="E630" s="112">
        <v>1974</v>
      </c>
      <c r="F630" s="118" t="s">
        <v>3060</v>
      </c>
      <c r="H630" s="114" t="s">
        <v>2631</v>
      </c>
      <c r="I630" s="112">
        <f t="shared" si="144"/>
        <v>1</v>
      </c>
      <c r="J630" s="112">
        <f t="shared" si="145"/>
        <v>1</v>
      </c>
      <c r="K630" s="115" t="s">
        <v>2540</v>
      </c>
      <c r="L630" s="115" t="s">
        <v>2776</v>
      </c>
      <c r="N630" s="115">
        <v>13400</v>
      </c>
      <c r="O630" s="112">
        <v>2</v>
      </c>
      <c r="P630" s="116" t="s">
        <v>2645</v>
      </c>
      <c r="Q630" s="112" t="str">
        <f t="shared" si="146"/>
        <v/>
      </c>
      <c r="R630" s="112" t="str">
        <f t="shared" si="147"/>
        <v/>
      </c>
      <c r="S630" s="112" t="str">
        <f t="shared" si="150"/>
        <v/>
      </c>
      <c r="T630" s="112" t="str">
        <f t="shared" si="151"/>
        <v/>
      </c>
      <c r="U630" s="112" t="str">
        <f t="shared" si="152"/>
        <v/>
      </c>
      <c r="V630" s="112" t="str">
        <f t="shared" si="153"/>
        <v/>
      </c>
      <c r="W630" s="112" t="str">
        <f t="shared" si="154"/>
        <v/>
      </c>
      <c r="X630" s="112" t="str">
        <f t="shared" si="148"/>
        <v/>
      </c>
      <c r="Y630" s="112" t="str">
        <f t="shared" si="149"/>
        <v/>
      </c>
      <c r="Z630" s="112" t="str">
        <f t="shared" si="155"/>
        <v/>
      </c>
      <c r="AA630" s="112" t="str">
        <f t="shared" si="156"/>
        <v/>
      </c>
      <c r="AB630" s="112" t="str">
        <f t="shared" si="157"/>
        <v/>
      </c>
      <c r="AC630" s="112" t="str">
        <f t="shared" si="158"/>
        <v/>
      </c>
      <c r="AD630" s="112" t="str">
        <f t="shared" si="159"/>
        <v/>
      </c>
    </row>
    <row r="631" spans="1:30" x14ac:dyDescent="0.2">
      <c r="A631" s="112" t="str">
        <f>IF(SUM(Q631:R631)=1,1+MAX($A$1:A630),"")</f>
        <v/>
      </c>
      <c r="B631" s="112" t="str">
        <f>IF(SUM(X631:Y631)=1,1+MAX($B$1:B630),"")</f>
        <v/>
      </c>
      <c r="C631" s="112" t="str">
        <f>IF(SUM(Q631:R631,X631:Y631)=2,1+MAX($C$1:C630),"")</f>
        <v/>
      </c>
      <c r="D631" s="113">
        <v>27199</v>
      </c>
      <c r="E631" s="112">
        <v>1974</v>
      </c>
      <c r="F631" s="118" t="s">
        <v>3060</v>
      </c>
      <c r="H631" s="114" t="s">
        <v>2604</v>
      </c>
      <c r="I631" s="112">
        <f t="shared" si="144"/>
        <v>0</v>
      </c>
      <c r="J631" s="112">
        <f t="shared" si="145"/>
        <v>0</v>
      </c>
      <c r="K631" s="115" t="s">
        <v>2549</v>
      </c>
      <c r="L631" s="115" t="s">
        <v>2768</v>
      </c>
      <c r="N631" s="115">
        <v>53700</v>
      </c>
      <c r="O631" s="112">
        <v>1</v>
      </c>
      <c r="P631" s="116" t="s">
        <v>2613</v>
      </c>
      <c r="Q631" s="112" t="str">
        <f t="shared" si="146"/>
        <v/>
      </c>
      <c r="R631" s="112" t="str">
        <f t="shared" si="147"/>
        <v/>
      </c>
      <c r="S631" s="112" t="str">
        <f t="shared" si="150"/>
        <v/>
      </c>
      <c r="T631" s="112" t="str">
        <f t="shared" si="151"/>
        <v/>
      </c>
      <c r="U631" s="112" t="str">
        <f t="shared" si="152"/>
        <v/>
      </c>
      <c r="V631" s="112" t="str">
        <f t="shared" si="153"/>
        <v/>
      </c>
      <c r="W631" s="112" t="str">
        <f t="shared" si="154"/>
        <v/>
      </c>
      <c r="X631" s="112" t="str">
        <f t="shared" si="148"/>
        <v/>
      </c>
      <c r="Y631" s="112" t="str">
        <f t="shared" si="149"/>
        <v/>
      </c>
      <c r="Z631" s="112" t="str">
        <f t="shared" si="155"/>
        <v/>
      </c>
      <c r="AA631" s="112" t="str">
        <f t="shared" si="156"/>
        <v/>
      </c>
      <c r="AB631" s="112" t="str">
        <f t="shared" si="157"/>
        <v/>
      </c>
      <c r="AC631" s="112" t="str">
        <f t="shared" si="158"/>
        <v/>
      </c>
      <c r="AD631" s="112" t="str">
        <f t="shared" si="159"/>
        <v/>
      </c>
    </row>
    <row r="632" spans="1:30" x14ac:dyDescent="0.2">
      <c r="A632" s="112" t="str">
        <f>IF(SUM(Q632:R632)=1,1+MAX($A$1:A631),"")</f>
        <v/>
      </c>
      <c r="B632" s="112" t="str">
        <f>IF(SUM(X632:Y632)=1,1+MAX($B$1:B631),"")</f>
        <v/>
      </c>
      <c r="C632" s="112" t="str">
        <f>IF(SUM(Q632:R632,X632:Y632)=2,1+MAX($C$1:C631),"")</f>
        <v/>
      </c>
      <c r="D632" s="113">
        <v>27198</v>
      </c>
      <c r="E632" s="112">
        <v>1974</v>
      </c>
      <c r="F632" s="118" t="s">
        <v>3060</v>
      </c>
      <c r="H632" s="114" t="s">
        <v>2700</v>
      </c>
      <c r="I632" s="112">
        <f t="shared" si="144"/>
        <v>0</v>
      </c>
      <c r="J632" s="112">
        <f t="shared" si="145"/>
        <v>9</v>
      </c>
      <c r="K632" s="115" t="s">
        <v>2862</v>
      </c>
      <c r="L632" s="115" t="s">
        <v>3090</v>
      </c>
      <c r="N632" s="115">
        <v>31700</v>
      </c>
      <c r="O632" s="112">
        <v>1</v>
      </c>
      <c r="P632" s="116" t="s">
        <v>3098</v>
      </c>
      <c r="Q632" s="112" t="str">
        <f t="shared" si="146"/>
        <v/>
      </c>
      <c r="R632" s="112" t="str">
        <f t="shared" si="147"/>
        <v/>
      </c>
      <c r="S632" s="112" t="str">
        <f t="shared" si="150"/>
        <v/>
      </c>
      <c r="T632" s="112" t="str">
        <f t="shared" si="151"/>
        <v/>
      </c>
      <c r="U632" s="112" t="str">
        <f t="shared" si="152"/>
        <v/>
      </c>
      <c r="V632" s="112" t="str">
        <f t="shared" si="153"/>
        <v/>
      </c>
      <c r="W632" s="112" t="str">
        <f t="shared" si="154"/>
        <v/>
      </c>
      <c r="X632" s="112" t="str">
        <f t="shared" si="148"/>
        <v/>
      </c>
      <c r="Y632" s="112" t="str">
        <f t="shared" si="149"/>
        <v/>
      </c>
      <c r="Z632" s="112" t="str">
        <f t="shared" si="155"/>
        <v/>
      </c>
      <c r="AA632" s="112" t="str">
        <f t="shared" si="156"/>
        <v/>
      </c>
      <c r="AB632" s="112" t="str">
        <f t="shared" si="157"/>
        <v/>
      </c>
      <c r="AC632" s="112" t="str">
        <f t="shared" si="158"/>
        <v/>
      </c>
      <c r="AD632" s="112" t="str">
        <f t="shared" si="159"/>
        <v/>
      </c>
    </row>
    <row r="633" spans="1:30" x14ac:dyDescent="0.2">
      <c r="A633" s="112" t="str">
        <f>IF(SUM(Q633:R633)=1,1+MAX($A$1:A632),"")</f>
        <v/>
      </c>
      <c r="B633" s="112" t="str">
        <f>IF(SUM(X633:Y633)=1,1+MAX($B$1:B632),"")</f>
        <v/>
      </c>
      <c r="C633" s="112" t="str">
        <f>IF(SUM(Q633:R633,X633:Y633)=2,1+MAX($C$1:C632),"")</f>
        <v/>
      </c>
      <c r="D633" s="113">
        <v>27198</v>
      </c>
      <c r="E633" s="112">
        <v>1974</v>
      </c>
      <c r="F633" s="118" t="s">
        <v>3060</v>
      </c>
      <c r="H633" s="114" t="s">
        <v>1442</v>
      </c>
      <c r="I633" s="112">
        <f t="shared" si="144"/>
        <v>0</v>
      </c>
      <c r="J633" s="112">
        <f t="shared" si="145"/>
        <v>0</v>
      </c>
      <c r="K633" s="115" t="s">
        <v>2717</v>
      </c>
      <c r="L633" s="115" t="s">
        <v>3097</v>
      </c>
      <c r="N633" s="115">
        <v>62000</v>
      </c>
      <c r="O633" s="112">
        <v>1</v>
      </c>
      <c r="P633" s="116" t="s">
        <v>2613</v>
      </c>
      <c r="Q633" s="112" t="str">
        <f t="shared" si="146"/>
        <v/>
      </c>
      <c r="R633" s="112" t="str">
        <f t="shared" si="147"/>
        <v/>
      </c>
      <c r="S633" s="112" t="str">
        <f t="shared" si="150"/>
        <v/>
      </c>
      <c r="T633" s="112" t="str">
        <f t="shared" si="151"/>
        <v/>
      </c>
      <c r="U633" s="112" t="str">
        <f t="shared" si="152"/>
        <v/>
      </c>
      <c r="V633" s="112" t="str">
        <f t="shared" si="153"/>
        <v/>
      </c>
      <c r="W633" s="112" t="str">
        <f t="shared" si="154"/>
        <v/>
      </c>
      <c r="X633" s="112" t="str">
        <f t="shared" si="148"/>
        <v/>
      </c>
      <c r="Y633" s="112" t="str">
        <f t="shared" si="149"/>
        <v/>
      </c>
      <c r="Z633" s="112" t="str">
        <f t="shared" si="155"/>
        <v/>
      </c>
      <c r="AA633" s="112" t="str">
        <f t="shared" si="156"/>
        <v/>
      </c>
      <c r="AB633" s="112" t="str">
        <f t="shared" si="157"/>
        <v/>
      </c>
      <c r="AC633" s="112" t="str">
        <f t="shared" si="158"/>
        <v/>
      </c>
      <c r="AD633" s="112" t="str">
        <f t="shared" si="159"/>
        <v/>
      </c>
    </row>
    <row r="634" spans="1:30" x14ac:dyDescent="0.2">
      <c r="A634" s="112" t="str">
        <f>IF(SUM(Q634:R634)=1,1+MAX($A$1:A633),"")</f>
        <v/>
      </c>
      <c r="B634" s="112" t="str">
        <f>IF(SUM(X634:Y634)=1,1+MAX($B$1:B633),"")</f>
        <v/>
      </c>
      <c r="C634" s="112" t="str">
        <f>IF(SUM(Q634:R634,X634:Y634)=2,1+MAX($C$1:C633),"")</f>
        <v/>
      </c>
      <c r="D634" s="113">
        <v>27198</v>
      </c>
      <c r="E634" s="112">
        <v>1974</v>
      </c>
      <c r="F634" s="118" t="s">
        <v>3060</v>
      </c>
      <c r="H634" s="114" t="s">
        <v>2650</v>
      </c>
      <c r="I634" s="112">
        <f t="shared" si="144"/>
        <v>1</v>
      </c>
      <c r="J634" s="112">
        <f t="shared" si="145"/>
        <v>1</v>
      </c>
      <c r="K634" s="115" t="s">
        <v>2714</v>
      </c>
      <c r="L634" s="115" t="s">
        <v>2763</v>
      </c>
      <c r="N634" s="115">
        <v>28300</v>
      </c>
      <c r="O634" s="112">
        <v>1</v>
      </c>
      <c r="P634" s="116" t="s">
        <v>2645</v>
      </c>
      <c r="Q634" s="112" t="str">
        <f t="shared" si="146"/>
        <v/>
      </c>
      <c r="R634" s="112" t="str">
        <f t="shared" si="147"/>
        <v/>
      </c>
      <c r="S634" s="112" t="str">
        <f t="shared" si="150"/>
        <v/>
      </c>
      <c r="T634" s="112" t="str">
        <f t="shared" si="151"/>
        <v/>
      </c>
      <c r="U634" s="112" t="str">
        <f t="shared" si="152"/>
        <v/>
      </c>
      <c r="V634" s="112" t="str">
        <f t="shared" si="153"/>
        <v/>
      </c>
      <c r="W634" s="112" t="str">
        <f t="shared" si="154"/>
        <v/>
      </c>
      <c r="X634" s="112" t="str">
        <f t="shared" si="148"/>
        <v/>
      </c>
      <c r="Y634" s="112" t="str">
        <f t="shared" si="149"/>
        <v/>
      </c>
      <c r="Z634" s="112" t="str">
        <f t="shared" si="155"/>
        <v/>
      </c>
      <c r="AA634" s="112" t="str">
        <f t="shared" si="156"/>
        <v/>
      </c>
      <c r="AB634" s="112" t="str">
        <f t="shared" si="157"/>
        <v/>
      </c>
      <c r="AC634" s="112" t="str">
        <f t="shared" si="158"/>
        <v/>
      </c>
      <c r="AD634" s="112" t="str">
        <f t="shared" si="159"/>
        <v/>
      </c>
    </row>
    <row r="635" spans="1:30" x14ac:dyDescent="0.2">
      <c r="A635" s="112" t="str">
        <f>IF(SUM(Q635:R635)=1,1+MAX($A$1:A634),"")</f>
        <v/>
      </c>
      <c r="B635" s="112" t="str">
        <f>IF(SUM(X635:Y635)=1,1+MAX($B$1:B634),"")</f>
        <v/>
      </c>
      <c r="C635" s="112" t="str">
        <f>IF(SUM(Q635:R635,X635:Y635)=2,1+MAX($C$1:C634),"")</f>
        <v/>
      </c>
      <c r="D635" s="113">
        <v>27198</v>
      </c>
      <c r="E635" s="112">
        <v>1974</v>
      </c>
      <c r="F635" s="118" t="s">
        <v>3060</v>
      </c>
      <c r="H635" s="114" t="s">
        <v>1317</v>
      </c>
      <c r="I635" s="112">
        <f t="shared" si="144"/>
        <v>0</v>
      </c>
      <c r="J635" s="112">
        <f t="shared" si="145"/>
        <v>3</v>
      </c>
      <c r="K635" s="115" t="s">
        <v>2547</v>
      </c>
      <c r="L635" s="115" t="s">
        <v>2774</v>
      </c>
      <c r="N635" s="115">
        <v>53300</v>
      </c>
      <c r="O635" s="112">
        <v>1</v>
      </c>
      <c r="P635" s="116" t="s">
        <v>2607</v>
      </c>
      <c r="Q635" s="112" t="str">
        <f t="shared" si="146"/>
        <v/>
      </c>
      <c r="R635" s="112" t="str">
        <f t="shared" si="147"/>
        <v/>
      </c>
      <c r="S635" s="112" t="str">
        <f t="shared" si="150"/>
        <v/>
      </c>
      <c r="T635" s="112" t="str">
        <f t="shared" si="151"/>
        <v/>
      </c>
      <c r="U635" s="112" t="str">
        <f t="shared" si="152"/>
        <v/>
      </c>
      <c r="V635" s="112" t="str">
        <f t="shared" si="153"/>
        <v/>
      </c>
      <c r="W635" s="112" t="str">
        <f t="shared" si="154"/>
        <v/>
      </c>
      <c r="X635" s="112" t="str">
        <f t="shared" si="148"/>
        <v/>
      </c>
      <c r="Y635" s="112" t="str">
        <f t="shared" si="149"/>
        <v/>
      </c>
      <c r="Z635" s="112" t="str">
        <f t="shared" si="155"/>
        <v/>
      </c>
      <c r="AA635" s="112" t="str">
        <f t="shared" si="156"/>
        <v/>
      </c>
      <c r="AB635" s="112" t="str">
        <f t="shared" si="157"/>
        <v/>
      </c>
      <c r="AC635" s="112" t="str">
        <f t="shared" si="158"/>
        <v/>
      </c>
      <c r="AD635" s="112" t="str">
        <f t="shared" si="159"/>
        <v/>
      </c>
    </row>
    <row r="636" spans="1:30" x14ac:dyDescent="0.2">
      <c r="A636" s="112" t="str">
        <f>IF(SUM(Q636:R636)=1,1+MAX($A$1:A635),"")</f>
        <v/>
      </c>
      <c r="B636" s="112">
        <f>IF(SUM(X636:Y636)=1,1+MAX($B$1:B635),"")</f>
        <v>67</v>
      </c>
      <c r="C636" s="112" t="str">
        <f>IF(SUM(Q636:R636,X636:Y636)=2,1+MAX($C$1:C635),"")</f>
        <v/>
      </c>
      <c r="D636" s="113">
        <v>27195</v>
      </c>
      <c r="E636" s="112">
        <v>1974</v>
      </c>
      <c r="F636" s="118" t="s">
        <v>3060</v>
      </c>
      <c r="H636" s="114" t="s">
        <v>1134</v>
      </c>
      <c r="I636" s="112">
        <f t="shared" si="144"/>
        <v>2</v>
      </c>
      <c r="J636" s="112">
        <f t="shared" si="145"/>
        <v>3</v>
      </c>
      <c r="K636" s="115" t="s">
        <v>2544</v>
      </c>
      <c r="L636" s="115" t="s">
        <v>2765</v>
      </c>
      <c r="N636" s="115">
        <v>32700</v>
      </c>
      <c r="O636" s="112">
        <v>1</v>
      </c>
      <c r="P636" s="116" t="s">
        <v>2706</v>
      </c>
      <c r="Q636" s="112" t="str">
        <f t="shared" si="146"/>
        <v/>
      </c>
      <c r="R636" s="112" t="str">
        <f t="shared" si="147"/>
        <v/>
      </c>
      <c r="S636" s="112" t="str">
        <f t="shared" si="150"/>
        <v/>
      </c>
      <c r="T636" s="112" t="str">
        <f t="shared" si="151"/>
        <v/>
      </c>
      <c r="U636" s="112" t="str">
        <f t="shared" si="152"/>
        <v/>
      </c>
      <c r="V636" s="112" t="str">
        <f t="shared" si="153"/>
        <v/>
      </c>
      <c r="W636" s="112" t="str">
        <f t="shared" si="154"/>
        <v/>
      </c>
      <c r="X636" s="112">
        <f t="shared" si="148"/>
        <v>1</v>
      </c>
      <c r="Y636" s="112" t="str">
        <f t="shared" si="149"/>
        <v/>
      </c>
      <c r="Z636" s="112">
        <f t="shared" si="155"/>
        <v>0</v>
      </c>
      <c r="AA636" s="112">
        <f t="shared" si="156"/>
        <v>0</v>
      </c>
      <c r="AB636" s="112">
        <f t="shared" si="157"/>
        <v>1</v>
      </c>
      <c r="AC636" s="112">
        <f t="shared" si="158"/>
        <v>5</v>
      </c>
      <c r="AD636" s="112">
        <f t="shared" si="159"/>
        <v>-1</v>
      </c>
    </row>
    <row r="637" spans="1:30" x14ac:dyDescent="0.2">
      <c r="A637" s="112" t="str">
        <f>IF(SUM(Q637:R637)=1,1+MAX($A$1:A636),"")</f>
        <v/>
      </c>
      <c r="B637" s="112" t="str">
        <f>IF(SUM(X637:Y637)=1,1+MAX($B$1:B636),"")</f>
        <v/>
      </c>
      <c r="C637" s="112" t="str">
        <f>IF(SUM(Q637:R637,X637:Y637)=2,1+MAX($C$1:C636),"")</f>
        <v/>
      </c>
      <c r="D637" s="113">
        <v>27195</v>
      </c>
      <c r="E637" s="112">
        <v>1974</v>
      </c>
      <c r="F637" s="118" t="s">
        <v>3060</v>
      </c>
      <c r="H637" s="114" t="s">
        <v>2671</v>
      </c>
      <c r="I637" s="112">
        <f t="shared" si="144"/>
        <v>1</v>
      </c>
      <c r="J637" s="112">
        <f t="shared" si="145"/>
        <v>3</v>
      </c>
      <c r="K637" s="115" t="s">
        <v>2674</v>
      </c>
      <c r="L637" s="115" t="s">
        <v>2763</v>
      </c>
      <c r="N637" s="115">
        <v>53000</v>
      </c>
      <c r="O637" s="112">
        <v>2</v>
      </c>
      <c r="P637" s="116" t="s">
        <v>2691</v>
      </c>
      <c r="Q637" s="112" t="str">
        <f t="shared" si="146"/>
        <v/>
      </c>
      <c r="R637" s="112" t="str">
        <f t="shared" si="147"/>
        <v/>
      </c>
      <c r="S637" s="112" t="str">
        <f t="shared" si="150"/>
        <v/>
      </c>
      <c r="T637" s="112" t="str">
        <f t="shared" si="151"/>
        <v/>
      </c>
      <c r="U637" s="112" t="str">
        <f t="shared" si="152"/>
        <v/>
      </c>
      <c r="V637" s="112" t="str">
        <f t="shared" si="153"/>
        <v/>
      </c>
      <c r="W637" s="112" t="str">
        <f t="shared" si="154"/>
        <v/>
      </c>
      <c r="X637" s="112" t="str">
        <f t="shared" si="148"/>
        <v/>
      </c>
      <c r="Y637" s="112" t="str">
        <f t="shared" si="149"/>
        <v/>
      </c>
      <c r="Z637" s="112" t="str">
        <f t="shared" si="155"/>
        <v/>
      </c>
      <c r="AA637" s="112" t="str">
        <f t="shared" si="156"/>
        <v/>
      </c>
      <c r="AB637" s="112" t="str">
        <f t="shared" si="157"/>
        <v/>
      </c>
      <c r="AC637" s="112" t="str">
        <f t="shared" si="158"/>
        <v/>
      </c>
      <c r="AD637" s="112" t="str">
        <f t="shared" si="159"/>
        <v/>
      </c>
    </row>
    <row r="638" spans="1:30" x14ac:dyDescent="0.2">
      <c r="A638" s="112" t="str">
        <f>IF(SUM(Q638:R638)=1,1+MAX($A$1:A637),"")</f>
        <v/>
      </c>
      <c r="B638" s="112" t="str">
        <f>IF(SUM(X638:Y638)=1,1+MAX($B$1:B637),"")</f>
        <v/>
      </c>
      <c r="C638" s="112" t="str">
        <f>IF(SUM(Q638:R638,X638:Y638)=2,1+MAX($C$1:C637),"")</f>
        <v/>
      </c>
      <c r="D638" s="113">
        <v>27195</v>
      </c>
      <c r="E638" s="112">
        <v>1974</v>
      </c>
      <c r="F638" s="118" t="s">
        <v>3060</v>
      </c>
      <c r="H638" s="114" t="s">
        <v>2604</v>
      </c>
      <c r="I638" s="112">
        <f t="shared" si="144"/>
        <v>2</v>
      </c>
      <c r="J638" s="112">
        <f t="shared" si="145"/>
        <v>0</v>
      </c>
      <c r="K638" s="115" t="s">
        <v>2540</v>
      </c>
      <c r="L638" s="115" t="s">
        <v>2776</v>
      </c>
      <c r="N638" s="115">
        <v>55100</v>
      </c>
      <c r="O638" s="112">
        <v>2</v>
      </c>
      <c r="P638" s="116" t="s">
        <v>2641</v>
      </c>
      <c r="Q638" s="112" t="str">
        <f t="shared" si="146"/>
        <v/>
      </c>
      <c r="R638" s="112" t="str">
        <f t="shared" si="147"/>
        <v/>
      </c>
      <c r="S638" s="112" t="str">
        <f t="shared" si="150"/>
        <v/>
      </c>
      <c r="T638" s="112" t="str">
        <f t="shared" si="151"/>
        <v/>
      </c>
      <c r="U638" s="112" t="str">
        <f t="shared" si="152"/>
        <v/>
      </c>
      <c r="V638" s="112" t="str">
        <f t="shared" si="153"/>
        <v/>
      </c>
      <c r="W638" s="112" t="str">
        <f t="shared" si="154"/>
        <v/>
      </c>
      <c r="X638" s="112" t="str">
        <f t="shared" si="148"/>
        <v/>
      </c>
      <c r="Y638" s="112" t="str">
        <f t="shared" si="149"/>
        <v/>
      </c>
      <c r="Z638" s="112" t="str">
        <f t="shared" si="155"/>
        <v/>
      </c>
      <c r="AA638" s="112" t="str">
        <f t="shared" si="156"/>
        <v/>
      </c>
      <c r="AB638" s="112" t="str">
        <f t="shared" si="157"/>
        <v/>
      </c>
      <c r="AC638" s="112" t="str">
        <f t="shared" si="158"/>
        <v/>
      </c>
      <c r="AD638" s="112" t="str">
        <f t="shared" si="159"/>
        <v/>
      </c>
    </row>
    <row r="639" spans="1:30" x14ac:dyDescent="0.2">
      <c r="A639" s="112" t="str">
        <f>IF(SUM(Q639:R639)=1,1+MAX($A$1:A638),"")</f>
        <v/>
      </c>
      <c r="B639" s="112" t="str">
        <f>IF(SUM(X639:Y639)=1,1+MAX($B$1:B638),"")</f>
        <v/>
      </c>
      <c r="C639" s="112" t="str">
        <f>IF(SUM(Q639:R639,X639:Y639)=2,1+MAX($C$1:C638),"")</f>
        <v/>
      </c>
      <c r="D639" s="113">
        <v>27195</v>
      </c>
      <c r="E639" s="112">
        <v>1974</v>
      </c>
      <c r="F639" s="118" t="s">
        <v>3060</v>
      </c>
      <c r="H639" s="114" t="s">
        <v>2631</v>
      </c>
      <c r="I639" s="112">
        <f t="shared" si="144"/>
        <v>0</v>
      </c>
      <c r="J639" s="112">
        <f t="shared" si="145"/>
        <v>0</v>
      </c>
      <c r="K639" s="115" t="s">
        <v>2549</v>
      </c>
      <c r="L639" s="115" t="s">
        <v>3087</v>
      </c>
      <c r="N639" s="115">
        <v>23800</v>
      </c>
      <c r="O639" s="112">
        <v>1</v>
      </c>
      <c r="P639" s="116" t="s">
        <v>2613</v>
      </c>
      <c r="Q639" s="112" t="str">
        <f t="shared" si="146"/>
        <v/>
      </c>
      <c r="R639" s="112" t="str">
        <f t="shared" si="147"/>
        <v/>
      </c>
      <c r="S639" s="112" t="str">
        <f t="shared" si="150"/>
        <v/>
      </c>
      <c r="T639" s="112" t="str">
        <f t="shared" si="151"/>
        <v/>
      </c>
      <c r="U639" s="112" t="str">
        <f t="shared" si="152"/>
        <v/>
      </c>
      <c r="V639" s="112" t="str">
        <f t="shared" si="153"/>
        <v/>
      </c>
      <c r="W639" s="112" t="str">
        <f t="shared" si="154"/>
        <v/>
      </c>
      <c r="X639" s="112" t="str">
        <f t="shared" si="148"/>
        <v/>
      </c>
      <c r="Y639" s="112" t="str">
        <f t="shared" si="149"/>
        <v/>
      </c>
      <c r="Z639" s="112" t="str">
        <f t="shared" si="155"/>
        <v/>
      </c>
      <c r="AA639" s="112" t="str">
        <f t="shared" si="156"/>
        <v/>
      </c>
      <c r="AB639" s="112" t="str">
        <f t="shared" si="157"/>
        <v/>
      </c>
      <c r="AC639" s="112" t="str">
        <f t="shared" si="158"/>
        <v/>
      </c>
      <c r="AD639" s="112" t="str">
        <f t="shared" si="159"/>
        <v/>
      </c>
    </row>
    <row r="640" spans="1:30" x14ac:dyDescent="0.2">
      <c r="A640" s="112" t="str">
        <f>IF(SUM(Q640:R640)=1,1+MAX($A$1:A639),"")</f>
        <v/>
      </c>
      <c r="B640" s="112" t="str">
        <f>IF(SUM(X640:Y640)=1,1+MAX($B$1:B639),"")</f>
        <v/>
      </c>
      <c r="C640" s="112" t="str">
        <f>IF(SUM(Q640:R640,X640:Y640)=2,1+MAX($C$1:C639),"")</f>
        <v/>
      </c>
      <c r="D640" s="113">
        <v>27194</v>
      </c>
      <c r="E640" s="112">
        <v>1974</v>
      </c>
      <c r="F640" s="118" t="s">
        <v>3060</v>
      </c>
      <c r="H640" s="114" t="s">
        <v>2700</v>
      </c>
      <c r="I640" s="112">
        <f t="shared" si="144"/>
        <v>0</v>
      </c>
      <c r="J640" s="112">
        <f t="shared" si="145"/>
        <v>2</v>
      </c>
      <c r="K640" s="115" t="s">
        <v>2717</v>
      </c>
      <c r="L640" s="115" t="s">
        <v>2768</v>
      </c>
      <c r="N640" s="115">
        <v>27000</v>
      </c>
      <c r="O640" s="112">
        <v>1</v>
      </c>
      <c r="P640" s="116" t="s">
        <v>2687</v>
      </c>
      <c r="Q640" s="112" t="str">
        <f t="shared" si="146"/>
        <v/>
      </c>
      <c r="R640" s="112" t="str">
        <f t="shared" si="147"/>
        <v/>
      </c>
      <c r="S640" s="112" t="str">
        <f t="shared" si="150"/>
        <v/>
      </c>
      <c r="T640" s="112" t="str">
        <f t="shared" si="151"/>
        <v/>
      </c>
      <c r="U640" s="112" t="str">
        <f t="shared" si="152"/>
        <v/>
      </c>
      <c r="V640" s="112" t="str">
        <f t="shared" si="153"/>
        <v/>
      </c>
      <c r="W640" s="112" t="str">
        <f t="shared" si="154"/>
        <v/>
      </c>
      <c r="X640" s="112" t="str">
        <f t="shared" si="148"/>
        <v/>
      </c>
      <c r="Y640" s="112" t="str">
        <f t="shared" si="149"/>
        <v/>
      </c>
      <c r="Z640" s="112" t="str">
        <f t="shared" si="155"/>
        <v/>
      </c>
      <c r="AA640" s="112" t="str">
        <f t="shared" si="156"/>
        <v/>
      </c>
      <c r="AB640" s="112" t="str">
        <f t="shared" si="157"/>
        <v/>
      </c>
      <c r="AC640" s="112" t="str">
        <f t="shared" si="158"/>
        <v/>
      </c>
      <c r="AD640" s="112" t="str">
        <f t="shared" si="159"/>
        <v/>
      </c>
    </row>
    <row r="641" spans="1:30" x14ac:dyDescent="0.2">
      <c r="A641" s="112" t="str">
        <f>IF(SUM(Q641:R641)=1,1+MAX($A$1:A640),"")</f>
        <v/>
      </c>
      <c r="B641" s="112" t="str">
        <f>IF(SUM(X641:Y641)=1,1+MAX($B$1:B640),"")</f>
        <v/>
      </c>
      <c r="C641" s="112" t="str">
        <f>IF(SUM(Q641:R641,X641:Y641)=2,1+MAX($C$1:C640),"")</f>
        <v/>
      </c>
      <c r="D641" s="113">
        <v>27194</v>
      </c>
      <c r="E641" s="112">
        <v>1974</v>
      </c>
      <c r="F641" s="118" t="s">
        <v>3060</v>
      </c>
      <c r="H641" s="114" t="s">
        <v>1317</v>
      </c>
      <c r="I641" s="112">
        <f t="shared" si="144"/>
        <v>0</v>
      </c>
      <c r="J641" s="112">
        <f t="shared" si="145"/>
        <v>2</v>
      </c>
      <c r="K641" s="115" t="s">
        <v>2714</v>
      </c>
      <c r="L641" s="115" t="s">
        <v>2774</v>
      </c>
      <c r="N641" s="115">
        <v>17000</v>
      </c>
      <c r="O641" s="112">
        <v>1</v>
      </c>
      <c r="P641" s="116" t="s">
        <v>2687</v>
      </c>
      <c r="Q641" s="112" t="str">
        <f t="shared" si="146"/>
        <v/>
      </c>
      <c r="R641" s="112" t="str">
        <f t="shared" si="147"/>
        <v/>
      </c>
      <c r="S641" s="112" t="str">
        <f t="shared" si="150"/>
        <v/>
      </c>
      <c r="T641" s="112" t="str">
        <f t="shared" si="151"/>
        <v/>
      </c>
      <c r="U641" s="112" t="str">
        <f t="shared" si="152"/>
        <v/>
      </c>
      <c r="V641" s="112" t="str">
        <f t="shared" si="153"/>
        <v/>
      </c>
      <c r="W641" s="112" t="str">
        <f t="shared" si="154"/>
        <v/>
      </c>
      <c r="X641" s="112" t="str">
        <f t="shared" si="148"/>
        <v/>
      </c>
      <c r="Y641" s="112" t="str">
        <f t="shared" si="149"/>
        <v/>
      </c>
      <c r="Z641" s="112" t="str">
        <f t="shared" si="155"/>
        <v/>
      </c>
      <c r="AA641" s="112" t="str">
        <f t="shared" si="156"/>
        <v/>
      </c>
      <c r="AB641" s="112" t="str">
        <f t="shared" si="157"/>
        <v/>
      </c>
      <c r="AC641" s="112" t="str">
        <f t="shared" si="158"/>
        <v/>
      </c>
      <c r="AD641" s="112" t="str">
        <f t="shared" si="159"/>
        <v/>
      </c>
    </row>
    <row r="642" spans="1:30" x14ac:dyDescent="0.2">
      <c r="A642" s="112" t="str">
        <f>IF(SUM(Q642:R642)=1,1+MAX($A$1:A641),"")</f>
        <v/>
      </c>
      <c r="B642" s="112" t="str">
        <f>IF(SUM(X642:Y642)=1,1+MAX($B$1:B641),"")</f>
        <v/>
      </c>
      <c r="C642" s="112" t="str">
        <f>IF(SUM(Q642:R642,X642:Y642)=2,1+MAX($C$1:C641),"")</f>
        <v/>
      </c>
      <c r="D642" s="113">
        <v>27194</v>
      </c>
      <c r="E642" s="112">
        <v>1974</v>
      </c>
      <c r="F642" s="118" t="s">
        <v>3060</v>
      </c>
      <c r="H642" s="114" t="s">
        <v>2650</v>
      </c>
      <c r="I642" s="112">
        <f t="shared" ref="I642:I705" si="160">INT(LEFT(P642,FIND("-",P642)-1))</f>
        <v>0</v>
      </c>
      <c r="J642" s="112">
        <f t="shared" ref="J642:J705" si="161">INT(RIGHT(P642,LEN(P642)-FIND("-",P642)-1))</f>
        <v>1</v>
      </c>
      <c r="K642" s="115" t="s">
        <v>2547</v>
      </c>
      <c r="L642" s="115" t="s">
        <v>2763</v>
      </c>
      <c r="N642" s="115">
        <v>81100</v>
      </c>
      <c r="O642" s="112">
        <v>1</v>
      </c>
      <c r="P642" s="116" t="s">
        <v>2601</v>
      </c>
      <c r="Q642" s="112" t="str">
        <f t="shared" ref="Q642:Q704" si="162">IF(H642=team1,1,"")</f>
        <v/>
      </c>
      <c r="R642" s="112" t="str">
        <f t="shared" ref="R642:R704" si="163">IF(K642=team1,1,"")</f>
        <v/>
      </c>
      <c r="S642" s="112" t="str">
        <f t="shared" si="150"/>
        <v/>
      </c>
      <c r="T642" s="112" t="str">
        <f t="shared" si="151"/>
        <v/>
      </c>
      <c r="U642" s="112" t="str">
        <f t="shared" si="152"/>
        <v/>
      </c>
      <c r="V642" s="112" t="str">
        <f t="shared" si="153"/>
        <v/>
      </c>
      <c r="W642" s="112" t="str">
        <f t="shared" si="154"/>
        <v/>
      </c>
      <c r="X642" s="112" t="str">
        <f t="shared" ref="X642:X704" si="164">IF(H642=team2,1,"")</f>
        <v/>
      </c>
      <c r="Y642" s="112" t="str">
        <f t="shared" ref="Y642:Y704" si="165">IF(K642=team2,1,"")</f>
        <v/>
      </c>
      <c r="Z642" s="112" t="str">
        <f t="shared" si="155"/>
        <v/>
      </c>
      <c r="AA642" s="112" t="str">
        <f t="shared" si="156"/>
        <v/>
      </c>
      <c r="AB642" s="112" t="str">
        <f t="shared" si="157"/>
        <v/>
      </c>
      <c r="AC642" s="112" t="str">
        <f t="shared" si="158"/>
        <v/>
      </c>
      <c r="AD642" s="112" t="str">
        <f t="shared" si="159"/>
        <v/>
      </c>
    </row>
    <row r="643" spans="1:30" x14ac:dyDescent="0.2">
      <c r="A643" s="112" t="str">
        <f>IF(SUM(Q643:R643)=1,1+MAX($A$1:A642),"")</f>
        <v/>
      </c>
      <c r="B643" s="112" t="str">
        <f>IF(SUM(X643:Y643)=1,1+MAX($B$1:B642),"")</f>
        <v/>
      </c>
      <c r="C643" s="112" t="str">
        <f>IF(SUM(Q643:R643,X643:Y643)=2,1+MAX($C$1:C642),"")</f>
        <v/>
      </c>
      <c r="D643" s="113">
        <v>27193</v>
      </c>
      <c r="E643" s="112">
        <v>1974</v>
      </c>
      <c r="F643" s="118" t="s">
        <v>3060</v>
      </c>
      <c r="H643" s="114" t="s">
        <v>1442</v>
      </c>
      <c r="I643" s="112">
        <f t="shared" si="160"/>
        <v>0</v>
      </c>
      <c r="J643" s="112">
        <f t="shared" si="161"/>
        <v>0</v>
      </c>
      <c r="K643" s="115" t="s">
        <v>2862</v>
      </c>
      <c r="L643" s="115" t="s">
        <v>3097</v>
      </c>
      <c r="N643" s="115">
        <v>62000</v>
      </c>
      <c r="O643" s="112">
        <v>1</v>
      </c>
      <c r="P643" s="116" t="s">
        <v>2613</v>
      </c>
      <c r="Q643" s="112" t="str">
        <f t="shared" si="162"/>
        <v/>
      </c>
      <c r="R643" s="112" t="str">
        <f t="shared" si="163"/>
        <v/>
      </c>
      <c r="S643" s="112" t="str">
        <f t="shared" ref="S643:S706" si="166">IF(Q643=1,IF($I643&gt;$J643,1,0),IF(R643=1,IF($I643&lt;$J643,1,0),""))</f>
        <v/>
      </c>
      <c r="T643" s="112" t="str">
        <f t="shared" ref="T643:T706" si="167">IF(Q643=1,IF($I643=$J643,1,0),IF(R643=1,IF($I643=$J643,1,0),""))</f>
        <v/>
      </c>
      <c r="U643" s="112" t="str">
        <f t="shared" ref="U643:U706" si="168">IF(Q643=1,IF($I643&lt;$J643,1,0),IF(R643=1,IF($I643&gt;$J643,1,0),""))</f>
        <v/>
      </c>
      <c r="V643" s="112" t="str">
        <f t="shared" ref="V643:V706" si="169">IF(SUM(Q643:R643)=1,$I643+$J643,"")</f>
        <v/>
      </c>
      <c r="W643" s="112" t="str">
        <f t="shared" ref="W643:W706" si="170">IF(Q643=1,$I643-$J643,IF(R643=1,-($I643-$J643),""))</f>
        <v/>
      </c>
      <c r="X643" s="112" t="str">
        <f t="shared" si="164"/>
        <v/>
      </c>
      <c r="Y643" s="112" t="str">
        <f t="shared" si="165"/>
        <v/>
      </c>
      <c r="Z643" s="112" t="str">
        <f t="shared" ref="Z643:Z706" si="171">IF(X643=1,IF($I643&gt;$J643,1,0),IF(Y643=1,IF($I643&lt;$J643,1,0),""))</f>
        <v/>
      </c>
      <c r="AA643" s="112" t="str">
        <f t="shared" ref="AA643:AA706" si="172">IF(X643=1,IF($I643=$J643,1,0),IF(Y643=1,IF($I643=$J643,1,0),""))</f>
        <v/>
      </c>
      <c r="AB643" s="112" t="str">
        <f t="shared" ref="AB643:AB706" si="173">IF(X643=1,IF($I643&lt;$J643,1,0),IF(Y643=1,IF($I643&gt;$J643,1,0),""))</f>
        <v/>
      </c>
      <c r="AC643" s="112" t="str">
        <f t="shared" ref="AC643:AC706" si="174">IF(SUM(X643:Y643)=1,$I643+$J643,"")</f>
        <v/>
      </c>
      <c r="AD643" s="112" t="str">
        <f t="shared" ref="AD643:AD706" si="175">IF(X643=1,$I643-$J643,IF(Y643=1,-($I643-$J643),""))</f>
        <v/>
      </c>
    </row>
    <row r="644" spans="1:30" x14ac:dyDescent="0.2">
      <c r="A644" s="112" t="str">
        <f>IF(SUM(Q644:R644)=1,1+MAX($A$1:A643),"")</f>
        <v/>
      </c>
      <c r="B644" s="112" t="str">
        <f>IF(SUM(X644:Y644)=1,1+MAX($B$1:B643),"")</f>
        <v/>
      </c>
      <c r="C644" s="112" t="str">
        <f>IF(SUM(Q644:R644,X644:Y644)=2,1+MAX($C$1:C643),"")</f>
        <v/>
      </c>
      <c r="D644" s="113">
        <v>25740</v>
      </c>
      <c r="E644" s="112">
        <v>1970</v>
      </c>
      <c r="F644" s="112" t="s">
        <v>2597</v>
      </c>
      <c r="H644" s="114" t="s">
        <v>1442</v>
      </c>
      <c r="I644" s="112">
        <f t="shared" si="160"/>
        <v>4</v>
      </c>
      <c r="J644" s="112">
        <f t="shared" si="161"/>
        <v>1</v>
      </c>
      <c r="K644" s="115" t="s">
        <v>2674</v>
      </c>
      <c r="L644" s="115" t="s">
        <v>2957</v>
      </c>
      <c r="M644" s="115" t="s">
        <v>3092</v>
      </c>
      <c r="N644" s="115">
        <v>107412</v>
      </c>
      <c r="O644" s="112">
        <v>2</v>
      </c>
      <c r="P644" s="116" t="s">
        <v>2683</v>
      </c>
      <c r="Q644" s="112" t="str">
        <f t="shared" si="162"/>
        <v/>
      </c>
      <c r="R644" s="112" t="str">
        <f t="shared" si="163"/>
        <v/>
      </c>
      <c r="S644" s="112" t="str">
        <f t="shared" si="166"/>
        <v/>
      </c>
      <c r="T644" s="112" t="str">
        <f t="shared" si="167"/>
        <v/>
      </c>
      <c r="U644" s="112" t="str">
        <f t="shared" si="168"/>
        <v/>
      </c>
      <c r="V644" s="112" t="str">
        <f t="shared" si="169"/>
        <v/>
      </c>
      <c r="W644" s="112" t="str">
        <f t="shared" si="170"/>
        <v/>
      </c>
      <c r="X644" s="112" t="str">
        <f t="shared" si="164"/>
        <v/>
      </c>
      <c r="Y644" s="112" t="str">
        <f t="shared" si="165"/>
        <v/>
      </c>
      <c r="Z644" s="112" t="str">
        <f t="shared" si="171"/>
        <v/>
      </c>
      <c r="AA644" s="112" t="str">
        <f t="shared" si="172"/>
        <v/>
      </c>
      <c r="AB644" s="112" t="str">
        <f t="shared" si="173"/>
        <v/>
      </c>
      <c r="AC644" s="112" t="str">
        <f t="shared" si="174"/>
        <v/>
      </c>
      <c r="AD644" s="112" t="str">
        <f t="shared" si="175"/>
        <v/>
      </c>
    </row>
    <row r="645" spans="1:30" x14ac:dyDescent="0.2">
      <c r="A645" s="112" t="str">
        <f>IF(SUM(Q645:R645)=1,1+MAX($A$1:A644),"")</f>
        <v/>
      </c>
      <c r="B645" s="112" t="str">
        <f>IF(SUM(X645:Y645)=1,1+MAX($B$1:B644),"")</f>
        <v/>
      </c>
      <c r="C645" s="112" t="str">
        <f>IF(SUM(Q645:R645,X645:Y645)=2,1+MAX($C$1:C644),"")</f>
        <v/>
      </c>
      <c r="D645" s="113">
        <v>25739</v>
      </c>
      <c r="E645" s="112">
        <v>1970</v>
      </c>
      <c r="F645" s="112" t="s">
        <v>2602</v>
      </c>
      <c r="H645" s="114" t="s">
        <v>2547</v>
      </c>
      <c r="I645" s="112">
        <f t="shared" si="160"/>
        <v>1</v>
      </c>
      <c r="J645" s="112">
        <f t="shared" si="161"/>
        <v>0</v>
      </c>
      <c r="K645" s="115" t="s">
        <v>2540</v>
      </c>
      <c r="L645" s="115" t="s">
        <v>2957</v>
      </c>
      <c r="M645" s="115" t="s">
        <v>3099</v>
      </c>
      <c r="N645" s="115">
        <v>104403</v>
      </c>
      <c r="O645" s="112">
        <v>3</v>
      </c>
      <c r="P645" s="116" t="s">
        <v>2622</v>
      </c>
      <c r="Q645" s="112" t="str">
        <f t="shared" si="162"/>
        <v/>
      </c>
      <c r="R645" s="112" t="str">
        <f t="shared" si="163"/>
        <v/>
      </c>
      <c r="S645" s="112" t="str">
        <f t="shared" si="166"/>
        <v/>
      </c>
      <c r="T645" s="112" t="str">
        <f t="shared" si="167"/>
        <v/>
      </c>
      <c r="U645" s="112" t="str">
        <f t="shared" si="168"/>
        <v/>
      </c>
      <c r="V645" s="112" t="str">
        <f t="shared" si="169"/>
        <v/>
      </c>
      <c r="W645" s="112" t="str">
        <f t="shared" si="170"/>
        <v/>
      </c>
      <c r="X645" s="112" t="str">
        <f t="shared" si="164"/>
        <v/>
      </c>
      <c r="Y645" s="112" t="str">
        <f t="shared" si="165"/>
        <v/>
      </c>
      <c r="Z645" s="112" t="str">
        <f t="shared" si="171"/>
        <v/>
      </c>
      <c r="AA645" s="112" t="str">
        <f t="shared" si="172"/>
        <v/>
      </c>
      <c r="AB645" s="112" t="str">
        <f t="shared" si="173"/>
        <v/>
      </c>
      <c r="AC645" s="112" t="str">
        <f t="shared" si="174"/>
        <v/>
      </c>
      <c r="AD645" s="112" t="str">
        <f t="shared" si="175"/>
        <v/>
      </c>
    </row>
    <row r="646" spans="1:30" x14ac:dyDescent="0.2">
      <c r="A646" s="112" t="str">
        <f>IF(SUM(Q646:R646)=1,1+MAX($A$1:A645),"")</f>
        <v/>
      </c>
      <c r="B646" s="112" t="str">
        <f>IF(SUM(X646:Y646)=1,1+MAX($B$1:B645),"")</f>
        <v/>
      </c>
      <c r="C646" s="112" t="str">
        <f>IF(SUM(Q646:R646,X646:Y646)=2,1+MAX($C$1:C645),"")</f>
        <v/>
      </c>
      <c r="D646" s="113">
        <v>25736</v>
      </c>
      <c r="E646" s="112">
        <v>1970</v>
      </c>
      <c r="F646" s="112" t="s">
        <v>2609</v>
      </c>
      <c r="H646" s="114" t="s">
        <v>2547</v>
      </c>
      <c r="I646" s="112">
        <f t="shared" si="160"/>
        <v>3</v>
      </c>
      <c r="J646" s="112">
        <f t="shared" si="161"/>
        <v>4</v>
      </c>
      <c r="K646" s="115" t="s">
        <v>2674</v>
      </c>
      <c r="L646" s="115" t="s">
        <v>2957</v>
      </c>
      <c r="M646" s="115" t="s">
        <v>3100</v>
      </c>
      <c r="N646" s="115">
        <v>102444</v>
      </c>
      <c r="O646" s="112">
        <v>2</v>
      </c>
      <c r="P646" s="116" t="s">
        <v>3101</v>
      </c>
      <c r="Q646" s="112" t="str">
        <f t="shared" si="162"/>
        <v/>
      </c>
      <c r="R646" s="112" t="str">
        <f t="shared" si="163"/>
        <v/>
      </c>
      <c r="S646" s="112" t="str">
        <f t="shared" si="166"/>
        <v/>
      </c>
      <c r="T646" s="112" t="str">
        <f t="shared" si="167"/>
        <v/>
      </c>
      <c r="U646" s="112" t="str">
        <f t="shared" si="168"/>
        <v/>
      </c>
      <c r="V646" s="112" t="str">
        <f t="shared" si="169"/>
        <v/>
      </c>
      <c r="W646" s="112" t="str">
        <f t="shared" si="170"/>
        <v/>
      </c>
      <c r="X646" s="112" t="str">
        <f t="shared" si="164"/>
        <v/>
      </c>
      <c r="Y646" s="112" t="str">
        <f t="shared" si="165"/>
        <v/>
      </c>
      <c r="Z646" s="112" t="str">
        <f t="shared" si="171"/>
        <v/>
      </c>
      <c r="AA646" s="112" t="str">
        <f t="shared" si="172"/>
        <v/>
      </c>
      <c r="AB646" s="112" t="str">
        <f t="shared" si="173"/>
        <v/>
      </c>
      <c r="AC646" s="112" t="str">
        <f t="shared" si="174"/>
        <v/>
      </c>
      <c r="AD646" s="112" t="str">
        <f t="shared" si="175"/>
        <v/>
      </c>
    </row>
    <row r="647" spans="1:30" x14ac:dyDescent="0.2">
      <c r="A647" s="112" t="str">
        <f>IF(SUM(Q647:R647)=1,1+MAX($A$1:A646),"")</f>
        <v/>
      </c>
      <c r="B647" s="112" t="str">
        <f>IF(SUM(X647:Y647)=1,1+MAX($B$1:B646),"")</f>
        <v/>
      </c>
      <c r="C647" s="112" t="str">
        <f>IF(SUM(Q647:R647,X647:Y647)=2,1+MAX($C$1:C646),"")</f>
        <v/>
      </c>
      <c r="D647" s="113">
        <v>25736</v>
      </c>
      <c r="E647" s="112">
        <v>1970</v>
      </c>
      <c r="F647" s="112" t="s">
        <v>2609</v>
      </c>
      <c r="H647" s="114" t="s">
        <v>1442</v>
      </c>
      <c r="I647" s="112">
        <f t="shared" si="160"/>
        <v>3</v>
      </c>
      <c r="J647" s="112">
        <f t="shared" si="161"/>
        <v>1</v>
      </c>
      <c r="K647" s="115" t="s">
        <v>2540</v>
      </c>
      <c r="L647" s="115" t="s">
        <v>2961</v>
      </c>
      <c r="M647" s="115" t="s">
        <v>3102</v>
      </c>
      <c r="N647" s="115">
        <v>51261</v>
      </c>
      <c r="O647" s="112">
        <v>3</v>
      </c>
      <c r="P647" s="116" t="s">
        <v>2663</v>
      </c>
      <c r="Q647" s="112" t="str">
        <f t="shared" si="162"/>
        <v/>
      </c>
      <c r="R647" s="112" t="str">
        <f t="shared" si="163"/>
        <v/>
      </c>
      <c r="S647" s="112" t="str">
        <f t="shared" si="166"/>
        <v/>
      </c>
      <c r="T647" s="112" t="str">
        <f t="shared" si="167"/>
        <v/>
      </c>
      <c r="U647" s="112" t="str">
        <f t="shared" si="168"/>
        <v/>
      </c>
      <c r="V647" s="112" t="str">
        <f t="shared" si="169"/>
        <v/>
      </c>
      <c r="W647" s="112" t="str">
        <f t="shared" si="170"/>
        <v/>
      </c>
      <c r="X647" s="112" t="str">
        <f t="shared" si="164"/>
        <v/>
      </c>
      <c r="Y647" s="112" t="str">
        <f t="shared" si="165"/>
        <v/>
      </c>
      <c r="Z647" s="112" t="str">
        <f t="shared" si="171"/>
        <v/>
      </c>
      <c r="AA647" s="112" t="str">
        <f t="shared" si="172"/>
        <v/>
      </c>
      <c r="AB647" s="112" t="str">
        <f t="shared" si="173"/>
        <v/>
      </c>
      <c r="AC647" s="112" t="str">
        <f t="shared" si="174"/>
        <v/>
      </c>
      <c r="AD647" s="112" t="str">
        <f t="shared" si="175"/>
        <v/>
      </c>
    </row>
    <row r="648" spans="1:30" x14ac:dyDescent="0.2">
      <c r="A648" s="112" t="str">
        <f>IF(SUM(Q648:R648)=1,1+MAX($A$1:A647),"")</f>
        <v/>
      </c>
      <c r="B648" s="112" t="str">
        <f>IF(SUM(X648:Y648)=1,1+MAX($B$1:B647),"")</f>
        <v/>
      </c>
      <c r="C648" s="112" t="str">
        <f>IF(SUM(Q648:R648,X648:Y648)=2,1+MAX($C$1:C647),"")</f>
        <v/>
      </c>
      <c r="D648" s="113">
        <v>25733</v>
      </c>
      <c r="E648" s="112">
        <v>1970</v>
      </c>
      <c r="F648" s="112" t="s">
        <v>2618</v>
      </c>
      <c r="H648" s="114" t="s">
        <v>2720</v>
      </c>
      <c r="I648" s="112">
        <f t="shared" si="160"/>
        <v>0</v>
      </c>
      <c r="J648" s="112">
        <f t="shared" si="161"/>
        <v>1</v>
      </c>
      <c r="K648" s="115" t="s">
        <v>2540</v>
      </c>
      <c r="L648" s="115" t="s">
        <v>2957</v>
      </c>
      <c r="M648" s="115" t="s">
        <v>3103</v>
      </c>
      <c r="N648" s="115">
        <v>24550</v>
      </c>
      <c r="O648" s="112">
        <v>3</v>
      </c>
      <c r="P648" s="116" t="s">
        <v>2601</v>
      </c>
      <c r="Q648" s="112" t="str">
        <f t="shared" si="162"/>
        <v/>
      </c>
      <c r="R648" s="112" t="str">
        <f t="shared" si="163"/>
        <v/>
      </c>
      <c r="S648" s="112" t="str">
        <f t="shared" si="166"/>
        <v/>
      </c>
      <c r="T648" s="112" t="str">
        <f t="shared" si="167"/>
        <v/>
      </c>
      <c r="U648" s="112" t="str">
        <f t="shared" si="168"/>
        <v/>
      </c>
      <c r="V648" s="112" t="str">
        <f t="shared" si="169"/>
        <v/>
      </c>
      <c r="W648" s="112" t="str">
        <f t="shared" si="170"/>
        <v/>
      </c>
      <c r="X648" s="112" t="str">
        <f t="shared" si="164"/>
        <v/>
      </c>
      <c r="Y648" s="112" t="str">
        <f t="shared" si="165"/>
        <v/>
      </c>
      <c r="Z648" s="112" t="str">
        <f t="shared" si="171"/>
        <v/>
      </c>
      <c r="AA648" s="112" t="str">
        <f t="shared" si="172"/>
        <v/>
      </c>
      <c r="AB648" s="112" t="str">
        <f t="shared" si="173"/>
        <v/>
      </c>
      <c r="AC648" s="112" t="str">
        <f t="shared" si="174"/>
        <v/>
      </c>
      <c r="AD648" s="112" t="str">
        <f t="shared" si="175"/>
        <v/>
      </c>
    </row>
    <row r="649" spans="1:30" x14ac:dyDescent="0.2">
      <c r="A649" s="112" t="str">
        <f>IF(SUM(Q649:R649)=1,1+MAX($A$1:A648),"")</f>
        <v/>
      </c>
      <c r="B649" s="112" t="str">
        <f>IF(SUM(X649:Y649)=1,1+MAX($B$1:B648),"")</f>
        <v/>
      </c>
      <c r="C649" s="112" t="str">
        <f>IF(SUM(Q649:R649,X649:Y649)=2,1+MAX($C$1:C648),"")</f>
        <v/>
      </c>
      <c r="D649" s="113">
        <v>25733</v>
      </c>
      <c r="E649" s="112">
        <v>1970</v>
      </c>
      <c r="F649" s="112" t="s">
        <v>2618</v>
      </c>
      <c r="H649" s="114" t="s">
        <v>2674</v>
      </c>
      <c r="I649" s="112">
        <f t="shared" si="160"/>
        <v>4</v>
      </c>
      <c r="J649" s="112">
        <f t="shared" si="161"/>
        <v>1</v>
      </c>
      <c r="K649" s="115" t="s">
        <v>1061</v>
      </c>
      <c r="L649" s="115" t="s">
        <v>2978</v>
      </c>
      <c r="M649" s="115" t="s">
        <v>3093</v>
      </c>
      <c r="N649" s="115">
        <v>26851</v>
      </c>
      <c r="O649" s="112">
        <v>2</v>
      </c>
      <c r="P649" s="116" t="s">
        <v>2683</v>
      </c>
      <c r="Q649" s="112" t="str">
        <f t="shared" si="162"/>
        <v/>
      </c>
      <c r="R649" s="112" t="str">
        <f t="shared" si="163"/>
        <v/>
      </c>
      <c r="S649" s="112" t="str">
        <f t="shared" si="166"/>
        <v/>
      </c>
      <c r="T649" s="112" t="str">
        <f t="shared" si="167"/>
        <v/>
      </c>
      <c r="U649" s="112" t="str">
        <f t="shared" si="168"/>
        <v/>
      </c>
      <c r="V649" s="112" t="str">
        <f t="shared" si="169"/>
        <v/>
      </c>
      <c r="W649" s="112" t="str">
        <f t="shared" si="170"/>
        <v/>
      </c>
      <c r="X649" s="112" t="str">
        <f t="shared" si="164"/>
        <v/>
      </c>
      <c r="Y649" s="112" t="str">
        <f t="shared" si="165"/>
        <v/>
      </c>
      <c r="Z649" s="112" t="str">
        <f t="shared" si="171"/>
        <v/>
      </c>
      <c r="AA649" s="112" t="str">
        <f t="shared" si="172"/>
        <v/>
      </c>
      <c r="AB649" s="112" t="str">
        <f t="shared" si="173"/>
        <v/>
      </c>
      <c r="AC649" s="112" t="str">
        <f t="shared" si="174"/>
        <v/>
      </c>
      <c r="AD649" s="112" t="str">
        <f t="shared" si="175"/>
        <v/>
      </c>
    </row>
    <row r="650" spans="1:30" x14ac:dyDescent="0.2">
      <c r="A650" s="112" t="str">
        <f>IF(SUM(Q650:R650)=1,1+MAX($A$1:A649),"")</f>
        <v/>
      </c>
      <c r="B650" s="112" t="str">
        <f>IF(SUM(X650:Y650)=1,1+MAX($B$1:B649),"")</f>
        <v/>
      </c>
      <c r="C650" s="112" t="str">
        <f>IF(SUM(Q650:R650,X650:Y650)=2,1+MAX($C$1:C649),"")</f>
        <v/>
      </c>
      <c r="D650" s="113">
        <v>25733</v>
      </c>
      <c r="E650" s="112">
        <v>1970</v>
      </c>
      <c r="F650" s="112" t="s">
        <v>2618</v>
      </c>
      <c r="H650" s="114" t="s">
        <v>1442</v>
      </c>
      <c r="I650" s="112">
        <f t="shared" si="160"/>
        <v>4</v>
      </c>
      <c r="J650" s="112">
        <f t="shared" si="161"/>
        <v>2</v>
      </c>
      <c r="K650" s="115" t="s">
        <v>2134</v>
      </c>
      <c r="L650" s="115" t="s">
        <v>2961</v>
      </c>
      <c r="M650" s="115" t="s">
        <v>3094</v>
      </c>
      <c r="N650" s="115">
        <v>54233</v>
      </c>
      <c r="O650" s="112">
        <v>2</v>
      </c>
      <c r="P650" s="116" t="s">
        <v>2695</v>
      </c>
      <c r="Q650" s="112" t="str">
        <f t="shared" si="162"/>
        <v/>
      </c>
      <c r="R650" s="112" t="str">
        <f t="shared" si="163"/>
        <v/>
      </c>
      <c r="S650" s="112" t="str">
        <f t="shared" si="166"/>
        <v/>
      </c>
      <c r="T650" s="112" t="str">
        <f t="shared" si="167"/>
        <v/>
      </c>
      <c r="U650" s="112" t="str">
        <f t="shared" si="168"/>
        <v/>
      </c>
      <c r="V650" s="112" t="str">
        <f t="shared" si="169"/>
        <v/>
      </c>
      <c r="W650" s="112" t="str">
        <f t="shared" si="170"/>
        <v/>
      </c>
      <c r="X650" s="112" t="str">
        <f t="shared" si="164"/>
        <v/>
      </c>
      <c r="Y650" s="112" t="str">
        <f t="shared" si="165"/>
        <v/>
      </c>
      <c r="Z650" s="112" t="str">
        <f t="shared" si="171"/>
        <v/>
      </c>
      <c r="AA650" s="112" t="str">
        <f t="shared" si="172"/>
        <v/>
      </c>
      <c r="AB650" s="112" t="str">
        <f t="shared" si="173"/>
        <v/>
      </c>
      <c r="AC650" s="112" t="str">
        <f t="shared" si="174"/>
        <v/>
      </c>
      <c r="AD650" s="112" t="str">
        <f t="shared" si="175"/>
        <v/>
      </c>
    </row>
    <row r="651" spans="1:30" x14ac:dyDescent="0.2">
      <c r="A651" s="112">
        <f>IF(SUM(Q651:R651)=1,1+MAX($A$1:A650),"")</f>
        <v>39</v>
      </c>
      <c r="B651" s="112" t="str">
        <f>IF(SUM(X651:Y651)=1,1+MAX($B$1:B650),"")</f>
        <v/>
      </c>
      <c r="C651" s="112" t="str">
        <f>IF(SUM(Q651:R651,X651:Y651)=2,1+MAX($C$1:C650),"")</f>
        <v/>
      </c>
      <c r="D651" s="113">
        <v>25733</v>
      </c>
      <c r="E651" s="112">
        <v>1970</v>
      </c>
      <c r="F651" s="112" t="s">
        <v>2618</v>
      </c>
      <c r="H651" s="114" t="s">
        <v>2545</v>
      </c>
      <c r="I651" s="112">
        <f t="shared" si="160"/>
        <v>2</v>
      </c>
      <c r="J651" s="112">
        <f t="shared" si="161"/>
        <v>3</v>
      </c>
      <c r="K651" s="115" t="s">
        <v>2547</v>
      </c>
      <c r="L651" s="115" t="s">
        <v>2971</v>
      </c>
      <c r="M651" s="115" t="s">
        <v>3084</v>
      </c>
      <c r="N651" s="115">
        <v>23357</v>
      </c>
      <c r="O651" s="112">
        <v>2</v>
      </c>
      <c r="P651" s="116" t="s">
        <v>2706</v>
      </c>
      <c r="Q651" s="112">
        <f t="shared" si="162"/>
        <v>1</v>
      </c>
      <c r="R651" s="112" t="str">
        <f t="shared" si="163"/>
        <v/>
      </c>
      <c r="S651" s="112">
        <f t="shared" si="166"/>
        <v>0</v>
      </c>
      <c r="T651" s="112">
        <f t="shared" si="167"/>
        <v>0</v>
      </c>
      <c r="U651" s="112">
        <f t="shared" si="168"/>
        <v>1</v>
      </c>
      <c r="V651" s="112">
        <f t="shared" si="169"/>
        <v>5</v>
      </c>
      <c r="W651" s="112">
        <f t="shared" si="170"/>
        <v>-1</v>
      </c>
      <c r="X651" s="112" t="str">
        <f t="shared" si="164"/>
        <v/>
      </c>
      <c r="Y651" s="112" t="str">
        <f t="shared" si="165"/>
        <v/>
      </c>
      <c r="Z651" s="112" t="str">
        <f t="shared" si="171"/>
        <v/>
      </c>
      <c r="AA651" s="112" t="str">
        <f t="shared" si="172"/>
        <v/>
      </c>
      <c r="AB651" s="112" t="str">
        <f t="shared" si="173"/>
        <v/>
      </c>
      <c r="AC651" s="112" t="str">
        <f t="shared" si="174"/>
        <v/>
      </c>
      <c r="AD651" s="112" t="str">
        <f t="shared" si="175"/>
        <v/>
      </c>
    </row>
    <row r="652" spans="1:30" x14ac:dyDescent="0.2">
      <c r="A652" s="112" t="str">
        <f>IF(SUM(Q652:R652)=1,1+MAX($A$1:A651),"")</f>
        <v/>
      </c>
      <c r="B652" s="112" t="str">
        <f>IF(SUM(X652:Y652)=1,1+MAX($B$1:B651),"")</f>
        <v/>
      </c>
      <c r="C652" s="112" t="str">
        <f>IF(SUM(Q652:R652,X652:Y652)=2,1+MAX($C$1:C651),"")</f>
        <v/>
      </c>
      <c r="D652" s="113">
        <v>25730</v>
      </c>
      <c r="E652" s="112">
        <v>1970</v>
      </c>
      <c r="F652" s="112" t="s">
        <v>3020</v>
      </c>
      <c r="G652" s="112">
        <v>4</v>
      </c>
      <c r="H652" s="114" t="s">
        <v>2631</v>
      </c>
      <c r="I652" s="112">
        <f t="shared" si="160"/>
        <v>1</v>
      </c>
      <c r="J652" s="112">
        <f t="shared" si="161"/>
        <v>1</v>
      </c>
      <c r="K652" s="115" t="s">
        <v>2555</v>
      </c>
      <c r="L652" s="115" t="s">
        <v>2971</v>
      </c>
      <c r="M652" s="115" t="s">
        <v>3104</v>
      </c>
      <c r="N652" s="115">
        <v>12299</v>
      </c>
      <c r="O652" s="112">
        <v>2</v>
      </c>
      <c r="P652" s="116" t="s">
        <v>2645</v>
      </c>
      <c r="Q652" s="112" t="str">
        <f t="shared" si="162"/>
        <v/>
      </c>
      <c r="R652" s="112" t="str">
        <f t="shared" si="163"/>
        <v/>
      </c>
      <c r="S652" s="112" t="str">
        <f t="shared" si="166"/>
        <v/>
      </c>
      <c r="T652" s="112" t="str">
        <f t="shared" si="167"/>
        <v/>
      </c>
      <c r="U652" s="112" t="str">
        <f t="shared" si="168"/>
        <v/>
      </c>
      <c r="V652" s="112" t="str">
        <f t="shared" si="169"/>
        <v/>
      </c>
      <c r="W652" s="112" t="str">
        <f t="shared" si="170"/>
        <v/>
      </c>
      <c r="X652" s="112" t="str">
        <f t="shared" si="164"/>
        <v/>
      </c>
      <c r="Y652" s="112" t="str">
        <f t="shared" si="165"/>
        <v/>
      </c>
      <c r="Z652" s="112" t="str">
        <f t="shared" si="171"/>
        <v/>
      </c>
      <c r="AA652" s="112" t="str">
        <f t="shared" si="172"/>
        <v/>
      </c>
      <c r="AB652" s="112" t="str">
        <f t="shared" si="173"/>
        <v/>
      </c>
      <c r="AC652" s="112" t="str">
        <f t="shared" si="174"/>
        <v/>
      </c>
      <c r="AD652" s="112" t="str">
        <f t="shared" si="175"/>
        <v/>
      </c>
    </row>
    <row r="653" spans="1:30" x14ac:dyDescent="0.2">
      <c r="A653" s="112">
        <f>IF(SUM(Q653:R653)=1,1+MAX($A$1:A652),"")</f>
        <v>40</v>
      </c>
      <c r="B653" s="112" t="str">
        <f>IF(SUM(X653:Y653)=1,1+MAX($B$1:B652),"")</f>
        <v/>
      </c>
      <c r="C653" s="112" t="str">
        <f>IF(SUM(Q653:R653,X653:Y653)=2,1+MAX($C$1:C652),"")</f>
        <v/>
      </c>
      <c r="D653" s="113">
        <v>25730</v>
      </c>
      <c r="E653" s="112">
        <v>1970</v>
      </c>
      <c r="F653" s="112" t="s">
        <v>3033</v>
      </c>
      <c r="G653" s="112">
        <v>3</v>
      </c>
      <c r="H653" s="114" t="s">
        <v>2648</v>
      </c>
      <c r="I653" s="112">
        <f t="shared" si="160"/>
        <v>0</v>
      </c>
      <c r="J653" s="112">
        <f t="shared" si="161"/>
        <v>1</v>
      </c>
      <c r="K653" s="115" t="s">
        <v>2545</v>
      </c>
      <c r="L653" s="115" t="s">
        <v>2961</v>
      </c>
      <c r="M653" s="115" t="s">
        <v>3105</v>
      </c>
      <c r="N653" s="115">
        <v>49262</v>
      </c>
      <c r="O653" s="112">
        <v>2</v>
      </c>
      <c r="P653" s="116" t="s">
        <v>2601</v>
      </c>
      <c r="Q653" s="112" t="str">
        <f t="shared" si="162"/>
        <v/>
      </c>
      <c r="R653" s="112">
        <f t="shared" si="163"/>
        <v>1</v>
      </c>
      <c r="S653" s="112">
        <f t="shared" si="166"/>
        <v>1</v>
      </c>
      <c r="T653" s="112">
        <f t="shared" si="167"/>
        <v>0</v>
      </c>
      <c r="U653" s="112">
        <f t="shared" si="168"/>
        <v>0</v>
      </c>
      <c r="V653" s="112">
        <f t="shared" si="169"/>
        <v>1</v>
      </c>
      <c r="W653" s="112">
        <f t="shared" si="170"/>
        <v>1</v>
      </c>
      <c r="X653" s="112" t="str">
        <f t="shared" si="164"/>
        <v/>
      </c>
      <c r="Y653" s="112" t="str">
        <f t="shared" si="165"/>
        <v/>
      </c>
      <c r="Z653" s="112" t="str">
        <f t="shared" si="171"/>
        <v/>
      </c>
      <c r="AA653" s="112" t="str">
        <f t="shared" si="172"/>
        <v/>
      </c>
      <c r="AB653" s="112" t="str">
        <f t="shared" si="173"/>
        <v/>
      </c>
      <c r="AC653" s="112" t="str">
        <f t="shared" si="174"/>
        <v/>
      </c>
      <c r="AD653" s="112" t="str">
        <f t="shared" si="175"/>
        <v/>
      </c>
    </row>
    <row r="654" spans="1:30" x14ac:dyDescent="0.2">
      <c r="A654" s="112" t="str">
        <f>IF(SUM(Q654:R654)=1,1+MAX($A$1:A653),"")</f>
        <v/>
      </c>
      <c r="B654" s="112" t="str">
        <f>IF(SUM(X654:Y654)=1,1+MAX($B$1:B653),"")</f>
        <v/>
      </c>
      <c r="C654" s="112" t="str">
        <f>IF(SUM(Q654:R654,X654:Y654)=2,1+MAX($C$1:C653),"")</f>
        <v/>
      </c>
      <c r="D654" s="113">
        <v>25730</v>
      </c>
      <c r="E654" s="112">
        <v>1970</v>
      </c>
      <c r="F654" s="112" t="s">
        <v>3024</v>
      </c>
      <c r="G654" s="112">
        <v>2</v>
      </c>
      <c r="H654" s="114" t="s">
        <v>2688</v>
      </c>
      <c r="I654" s="112">
        <f t="shared" si="160"/>
        <v>0</v>
      </c>
      <c r="J654" s="112">
        <f t="shared" si="161"/>
        <v>0</v>
      </c>
      <c r="K654" s="115" t="s">
        <v>2674</v>
      </c>
      <c r="L654" s="115" t="s">
        <v>2978</v>
      </c>
      <c r="M654" s="115" t="s">
        <v>3106</v>
      </c>
      <c r="N654" s="115">
        <v>10000</v>
      </c>
      <c r="O654" s="112">
        <v>2</v>
      </c>
      <c r="P654" s="116" t="s">
        <v>2613</v>
      </c>
      <c r="Q654" s="112" t="str">
        <f t="shared" si="162"/>
        <v/>
      </c>
      <c r="R654" s="112" t="str">
        <f t="shared" si="163"/>
        <v/>
      </c>
      <c r="S654" s="112" t="str">
        <f t="shared" si="166"/>
        <v/>
      </c>
      <c r="T654" s="112" t="str">
        <f t="shared" si="167"/>
        <v/>
      </c>
      <c r="U654" s="112" t="str">
        <f t="shared" si="168"/>
        <v/>
      </c>
      <c r="V654" s="112" t="str">
        <f t="shared" si="169"/>
        <v/>
      </c>
      <c r="W654" s="112" t="str">
        <f t="shared" si="170"/>
        <v/>
      </c>
      <c r="X654" s="112" t="str">
        <f t="shared" si="164"/>
        <v/>
      </c>
      <c r="Y654" s="112" t="str">
        <f t="shared" si="165"/>
        <v/>
      </c>
      <c r="Z654" s="112" t="str">
        <f t="shared" si="171"/>
        <v/>
      </c>
      <c r="AA654" s="112" t="str">
        <f t="shared" si="172"/>
        <v/>
      </c>
      <c r="AB654" s="112" t="str">
        <f t="shared" si="173"/>
        <v/>
      </c>
      <c r="AC654" s="112" t="str">
        <f t="shared" si="174"/>
        <v/>
      </c>
      <c r="AD654" s="112" t="str">
        <f t="shared" si="175"/>
        <v/>
      </c>
    </row>
    <row r="655" spans="1:30" x14ac:dyDescent="0.2">
      <c r="A655" s="112" t="str">
        <f>IF(SUM(Q655:R655)=1,1+MAX($A$1:A654),"")</f>
        <v/>
      </c>
      <c r="B655" s="112" t="str">
        <f>IF(SUM(X655:Y655)=1,1+MAX($B$1:B654),"")</f>
        <v/>
      </c>
      <c r="C655" s="112" t="str">
        <f>IF(SUM(Q655:R655,X655:Y655)=2,1+MAX($C$1:C654),"")</f>
        <v/>
      </c>
      <c r="D655" s="113">
        <v>25730</v>
      </c>
      <c r="E655" s="112">
        <v>1970</v>
      </c>
      <c r="F655" s="112" t="s">
        <v>3035</v>
      </c>
      <c r="G655" s="112">
        <v>1</v>
      </c>
      <c r="H655" s="114" t="s">
        <v>2554</v>
      </c>
      <c r="I655" s="112">
        <f t="shared" si="160"/>
        <v>0</v>
      </c>
      <c r="J655" s="112">
        <f t="shared" si="161"/>
        <v>1</v>
      </c>
      <c r="K655" s="115" t="s">
        <v>1061</v>
      </c>
      <c r="L655" s="115" t="s">
        <v>2957</v>
      </c>
      <c r="M655" s="115" t="s">
        <v>3084</v>
      </c>
      <c r="N655" s="115">
        <v>105000</v>
      </c>
      <c r="O655" s="112">
        <v>2</v>
      </c>
      <c r="P655" s="116" t="s">
        <v>2601</v>
      </c>
      <c r="Q655" s="112" t="str">
        <f t="shared" si="162"/>
        <v/>
      </c>
      <c r="R655" s="112" t="str">
        <f t="shared" si="163"/>
        <v/>
      </c>
      <c r="S655" s="112" t="str">
        <f t="shared" si="166"/>
        <v/>
      </c>
      <c r="T655" s="112" t="str">
        <f t="shared" si="167"/>
        <v/>
      </c>
      <c r="U655" s="112" t="str">
        <f t="shared" si="168"/>
        <v/>
      </c>
      <c r="V655" s="112" t="str">
        <f t="shared" si="169"/>
        <v/>
      </c>
      <c r="W655" s="112" t="str">
        <f t="shared" si="170"/>
        <v/>
      </c>
      <c r="X655" s="112" t="str">
        <f t="shared" si="164"/>
        <v/>
      </c>
      <c r="Y655" s="112" t="str">
        <f t="shared" si="165"/>
        <v/>
      </c>
      <c r="Z655" s="112" t="str">
        <f t="shared" si="171"/>
        <v/>
      </c>
      <c r="AA655" s="112" t="str">
        <f t="shared" si="172"/>
        <v/>
      </c>
      <c r="AB655" s="112" t="str">
        <f t="shared" si="173"/>
        <v/>
      </c>
      <c r="AC655" s="112" t="str">
        <f t="shared" si="174"/>
        <v/>
      </c>
      <c r="AD655" s="112" t="str">
        <f t="shared" si="175"/>
        <v/>
      </c>
    </row>
    <row r="656" spans="1:30" x14ac:dyDescent="0.2">
      <c r="A656" s="112" t="str">
        <f>IF(SUM(Q656:R656)=1,1+MAX($A$1:A655),"")</f>
        <v/>
      </c>
      <c r="B656" s="112" t="str">
        <f>IF(SUM(X656:Y656)=1,1+MAX($B$1:B655),"")</f>
        <v/>
      </c>
      <c r="C656" s="112" t="str">
        <f>IF(SUM(Q656:R656,X656:Y656)=2,1+MAX($C$1:C655),"")</f>
        <v/>
      </c>
      <c r="D656" s="113">
        <v>25729</v>
      </c>
      <c r="E656" s="112">
        <v>1970</v>
      </c>
      <c r="F656" s="112" t="s">
        <v>3020</v>
      </c>
      <c r="G656" s="112">
        <v>4</v>
      </c>
      <c r="H656" s="114" t="s">
        <v>2547</v>
      </c>
      <c r="I656" s="112">
        <f t="shared" si="160"/>
        <v>3</v>
      </c>
      <c r="J656" s="112">
        <f t="shared" si="161"/>
        <v>1</v>
      </c>
      <c r="K656" s="115" t="s">
        <v>2134</v>
      </c>
      <c r="L656" s="115" t="s">
        <v>2971</v>
      </c>
      <c r="M656" s="115" t="s">
        <v>3107</v>
      </c>
      <c r="N656" s="115">
        <v>17875</v>
      </c>
      <c r="O656" s="112">
        <v>2</v>
      </c>
      <c r="P656" s="116" t="s">
        <v>2663</v>
      </c>
      <c r="Q656" s="112" t="str">
        <f t="shared" si="162"/>
        <v/>
      </c>
      <c r="R656" s="112" t="str">
        <f t="shared" si="163"/>
        <v/>
      </c>
      <c r="S656" s="112" t="str">
        <f t="shared" si="166"/>
        <v/>
      </c>
      <c r="T656" s="112" t="str">
        <f t="shared" si="167"/>
        <v/>
      </c>
      <c r="U656" s="112" t="str">
        <f t="shared" si="168"/>
        <v/>
      </c>
      <c r="V656" s="112" t="str">
        <f t="shared" si="169"/>
        <v/>
      </c>
      <c r="W656" s="112" t="str">
        <f t="shared" si="170"/>
        <v/>
      </c>
      <c r="X656" s="112" t="str">
        <f t="shared" si="164"/>
        <v/>
      </c>
      <c r="Y656" s="112" t="str">
        <f t="shared" si="165"/>
        <v/>
      </c>
      <c r="Z656" s="112" t="str">
        <f t="shared" si="171"/>
        <v/>
      </c>
      <c r="AA656" s="112" t="str">
        <f t="shared" si="172"/>
        <v/>
      </c>
      <c r="AB656" s="112" t="str">
        <f t="shared" si="173"/>
        <v/>
      </c>
      <c r="AC656" s="112" t="str">
        <f t="shared" si="174"/>
        <v/>
      </c>
      <c r="AD656" s="112" t="str">
        <f t="shared" si="175"/>
        <v/>
      </c>
    </row>
    <row r="657" spans="1:30" x14ac:dyDescent="0.2">
      <c r="A657" s="112" t="str">
        <f>IF(SUM(Q657:R657)=1,1+MAX($A$1:A656),"")</f>
        <v/>
      </c>
      <c r="B657" s="112" t="str">
        <f>IF(SUM(X657:Y657)=1,1+MAX($B$1:B656),"")</f>
        <v/>
      </c>
      <c r="C657" s="112" t="str">
        <f>IF(SUM(Q657:R657,X657:Y657)=2,1+MAX($C$1:C656),"")</f>
        <v/>
      </c>
      <c r="D657" s="113">
        <v>25729</v>
      </c>
      <c r="E657" s="112">
        <v>1970</v>
      </c>
      <c r="F657" s="112" t="s">
        <v>3033</v>
      </c>
      <c r="G657" s="112">
        <v>3</v>
      </c>
      <c r="H657" s="114" t="s">
        <v>1442</v>
      </c>
      <c r="I657" s="112">
        <f t="shared" si="160"/>
        <v>3</v>
      </c>
      <c r="J657" s="112">
        <f t="shared" si="161"/>
        <v>2</v>
      </c>
      <c r="K657" s="115" t="s">
        <v>2711</v>
      </c>
      <c r="L657" s="115" t="s">
        <v>2961</v>
      </c>
      <c r="M657" s="115" t="s">
        <v>3108</v>
      </c>
      <c r="N657" s="115">
        <v>50804</v>
      </c>
      <c r="O657" s="112">
        <v>2</v>
      </c>
      <c r="P657" s="116" t="s">
        <v>2664</v>
      </c>
      <c r="Q657" s="112" t="str">
        <f t="shared" si="162"/>
        <v/>
      </c>
      <c r="R657" s="112" t="str">
        <f t="shared" si="163"/>
        <v/>
      </c>
      <c r="S657" s="112" t="str">
        <f t="shared" si="166"/>
        <v/>
      </c>
      <c r="T657" s="112" t="str">
        <f t="shared" si="167"/>
        <v/>
      </c>
      <c r="U657" s="112" t="str">
        <f t="shared" si="168"/>
        <v/>
      </c>
      <c r="V657" s="112" t="str">
        <f t="shared" si="169"/>
        <v/>
      </c>
      <c r="W657" s="112" t="str">
        <f t="shared" si="170"/>
        <v/>
      </c>
      <c r="X657" s="112" t="str">
        <f t="shared" si="164"/>
        <v/>
      </c>
      <c r="Y657" s="112" t="str">
        <f t="shared" si="165"/>
        <v/>
      </c>
      <c r="Z657" s="112" t="str">
        <f t="shared" si="171"/>
        <v/>
      </c>
      <c r="AA657" s="112" t="str">
        <f t="shared" si="172"/>
        <v/>
      </c>
      <c r="AB657" s="112" t="str">
        <f t="shared" si="173"/>
        <v/>
      </c>
      <c r="AC657" s="112" t="str">
        <f t="shared" si="174"/>
        <v/>
      </c>
      <c r="AD657" s="112" t="str">
        <f t="shared" si="175"/>
        <v/>
      </c>
    </row>
    <row r="658" spans="1:30" x14ac:dyDescent="0.2">
      <c r="A658" s="112" t="str">
        <f>IF(SUM(Q658:R658)=1,1+MAX($A$1:A657),"")</f>
        <v/>
      </c>
      <c r="B658" s="112" t="str">
        <f>IF(SUM(X658:Y658)=1,1+MAX($B$1:B657),"")</f>
        <v/>
      </c>
      <c r="C658" s="112" t="str">
        <f>IF(SUM(Q658:R658,X658:Y658)=2,1+MAX($C$1:C657),"")</f>
        <v/>
      </c>
      <c r="D658" s="113">
        <v>25729</v>
      </c>
      <c r="E658" s="112">
        <v>1970</v>
      </c>
      <c r="F658" s="112" t="s">
        <v>3024</v>
      </c>
      <c r="G658" s="112">
        <v>2</v>
      </c>
      <c r="H658" s="114" t="s">
        <v>2549</v>
      </c>
      <c r="I658" s="112">
        <f t="shared" si="160"/>
        <v>1</v>
      </c>
      <c r="J658" s="112">
        <f t="shared" si="161"/>
        <v>0</v>
      </c>
      <c r="K658" s="115" t="s">
        <v>2540</v>
      </c>
      <c r="L658" s="115" t="s">
        <v>2959</v>
      </c>
      <c r="M658" s="115" t="s">
        <v>3109</v>
      </c>
      <c r="N658" s="115">
        <v>18000</v>
      </c>
      <c r="O658" s="112">
        <v>3</v>
      </c>
      <c r="P658" s="116" t="s">
        <v>2622</v>
      </c>
      <c r="Q658" s="112" t="str">
        <f t="shared" si="162"/>
        <v/>
      </c>
      <c r="R658" s="112" t="str">
        <f t="shared" si="163"/>
        <v/>
      </c>
      <c r="S658" s="112" t="str">
        <f t="shared" si="166"/>
        <v/>
      </c>
      <c r="T658" s="112" t="str">
        <f t="shared" si="167"/>
        <v/>
      </c>
      <c r="U658" s="112" t="str">
        <f t="shared" si="168"/>
        <v/>
      </c>
      <c r="V658" s="112" t="str">
        <f t="shared" si="169"/>
        <v/>
      </c>
      <c r="W658" s="112" t="str">
        <f t="shared" si="170"/>
        <v/>
      </c>
      <c r="X658" s="112" t="str">
        <f t="shared" si="164"/>
        <v/>
      </c>
      <c r="Y658" s="112" t="str">
        <f t="shared" si="165"/>
        <v/>
      </c>
      <c r="Z658" s="112" t="str">
        <f t="shared" si="171"/>
        <v/>
      </c>
      <c r="AA658" s="112" t="str">
        <f t="shared" si="172"/>
        <v/>
      </c>
      <c r="AB658" s="112" t="str">
        <f t="shared" si="173"/>
        <v/>
      </c>
      <c r="AC658" s="112" t="str">
        <f t="shared" si="174"/>
        <v/>
      </c>
      <c r="AD658" s="112" t="str">
        <f t="shared" si="175"/>
        <v/>
      </c>
    </row>
    <row r="659" spans="1:30" x14ac:dyDescent="0.2">
      <c r="A659" s="112" t="str">
        <f>IF(SUM(Q659:R659)=1,1+MAX($A$1:A658),"")</f>
        <v/>
      </c>
      <c r="B659" s="112" t="str">
        <f>IF(SUM(X659:Y659)=1,1+MAX($B$1:B658),"")</f>
        <v/>
      </c>
      <c r="C659" s="112" t="str">
        <f>IF(SUM(Q659:R659,X659:Y659)=2,1+MAX($C$1:C658),"")</f>
        <v/>
      </c>
      <c r="D659" s="113">
        <v>25729</v>
      </c>
      <c r="E659" s="112">
        <v>1970</v>
      </c>
      <c r="F659" s="112" t="s">
        <v>3035</v>
      </c>
      <c r="G659" s="112">
        <v>1</v>
      </c>
      <c r="H659" s="114" t="s">
        <v>2712</v>
      </c>
      <c r="I659" s="112">
        <f t="shared" si="160"/>
        <v>0</v>
      </c>
      <c r="J659" s="112">
        <f t="shared" si="161"/>
        <v>2</v>
      </c>
      <c r="K659" s="115" t="s">
        <v>2720</v>
      </c>
      <c r="L659" s="115" t="s">
        <v>2957</v>
      </c>
      <c r="M659" s="115" t="s">
        <v>3110</v>
      </c>
      <c r="N659" s="115">
        <v>89000</v>
      </c>
      <c r="O659" s="112">
        <v>3</v>
      </c>
      <c r="P659" s="116" t="s">
        <v>2687</v>
      </c>
      <c r="Q659" s="112" t="str">
        <f t="shared" si="162"/>
        <v/>
      </c>
      <c r="R659" s="112" t="str">
        <f t="shared" si="163"/>
        <v/>
      </c>
      <c r="S659" s="112" t="str">
        <f t="shared" si="166"/>
        <v/>
      </c>
      <c r="T659" s="112" t="str">
        <f t="shared" si="167"/>
        <v/>
      </c>
      <c r="U659" s="112" t="str">
        <f t="shared" si="168"/>
        <v/>
      </c>
      <c r="V659" s="112" t="str">
        <f t="shared" si="169"/>
        <v/>
      </c>
      <c r="W659" s="112" t="str">
        <f t="shared" si="170"/>
        <v/>
      </c>
      <c r="X659" s="112" t="str">
        <f t="shared" si="164"/>
        <v/>
      </c>
      <c r="Y659" s="112" t="str">
        <f t="shared" si="165"/>
        <v/>
      </c>
      <c r="Z659" s="112" t="str">
        <f t="shared" si="171"/>
        <v/>
      </c>
      <c r="AA659" s="112" t="str">
        <f t="shared" si="172"/>
        <v/>
      </c>
      <c r="AB659" s="112" t="str">
        <f t="shared" si="173"/>
        <v/>
      </c>
      <c r="AC659" s="112" t="str">
        <f t="shared" si="174"/>
        <v/>
      </c>
      <c r="AD659" s="112" t="str">
        <f t="shared" si="175"/>
        <v/>
      </c>
    </row>
    <row r="660" spans="1:30" x14ac:dyDescent="0.2">
      <c r="A660" s="112" t="str">
        <f>IF(SUM(Q660:R660)=1,1+MAX($A$1:A659),"")</f>
        <v/>
      </c>
      <c r="B660" s="112" t="str">
        <f>IF(SUM(X660:Y660)=1,1+MAX($B$1:B659),"")</f>
        <v/>
      </c>
      <c r="C660" s="112" t="str">
        <f>IF(SUM(Q660:R660,X660:Y660)=2,1+MAX($C$1:C659),"")</f>
        <v/>
      </c>
      <c r="D660" s="113">
        <v>25726</v>
      </c>
      <c r="E660" s="112">
        <v>1970</v>
      </c>
      <c r="F660" s="112" t="s">
        <v>3020</v>
      </c>
      <c r="G660" s="112">
        <v>4</v>
      </c>
      <c r="H660" s="114" t="s">
        <v>2631</v>
      </c>
      <c r="I660" s="112">
        <f t="shared" si="160"/>
        <v>2</v>
      </c>
      <c r="J660" s="112">
        <f t="shared" si="161"/>
        <v>5</v>
      </c>
      <c r="K660" s="115" t="s">
        <v>2547</v>
      </c>
      <c r="L660" s="115" t="s">
        <v>2971</v>
      </c>
      <c r="M660" s="115" t="s">
        <v>3102</v>
      </c>
      <c r="N660" s="115">
        <v>12710</v>
      </c>
      <c r="O660" s="112">
        <v>2</v>
      </c>
      <c r="P660" s="116" t="s">
        <v>3053</v>
      </c>
      <c r="Q660" s="112" t="str">
        <f t="shared" si="162"/>
        <v/>
      </c>
      <c r="R660" s="112" t="str">
        <f t="shared" si="163"/>
        <v/>
      </c>
      <c r="S660" s="112" t="str">
        <f t="shared" si="166"/>
        <v/>
      </c>
      <c r="T660" s="112" t="str">
        <f t="shared" si="167"/>
        <v/>
      </c>
      <c r="U660" s="112" t="str">
        <f t="shared" si="168"/>
        <v/>
      </c>
      <c r="V660" s="112" t="str">
        <f t="shared" si="169"/>
        <v/>
      </c>
      <c r="W660" s="112" t="str">
        <f t="shared" si="170"/>
        <v/>
      </c>
      <c r="X660" s="112" t="str">
        <f t="shared" si="164"/>
        <v/>
      </c>
      <c r="Y660" s="112" t="str">
        <f t="shared" si="165"/>
        <v/>
      </c>
      <c r="Z660" s="112" t="str">
        <f t="shared" si="171"/>
        <v/>
      </c>
      <c r="AA660" s="112" t="str">
        <f t="shared" si="172"/>
        <v/>
      </c>
      <c r="AB660" s="112" t="str">
        <f t="shared" si="173"/>
        <v/>
      </c>
      <c r="AC660" s="112" t="str">
        <f t="shared" si="174"/>
        <v/>
      </c>
      <c r="AD660" s="112" t="str">
        <f t="shared" si="175"/>
        <v/>
      </c>
    </row>
    <row r="661" spans="1:30" x14ac:dyDescent="0.2">
      <c r="A661" s="112">
        <f>IF(SUM(Q661:R661)=1,1+MAX($A$1:A660),"")</f>
        <v>41</v>
      </c>
      <c r="B661" s="112" t="str">
        <f>IF(SUM(X661:Y661)=1,1+MAX($B$1:B660),"")</f>
        <v/>
      </c>
      <c r="C661" s="112" t="str">
        <f>IF(SUM(Q661:R661,X661:Y661)=2,1+MAX($C$1:C660),"")</f>
        <v/>
      </c>
      <c r="D661" s="113">
        <v>25726</v>
      </c>
      <c r="E661" s="112">
        <v>1970</v>
      </c>
      <c r="F661" s="112" t="s">
        <v>3033</v>
      </c>
      <c r="G661" s="112">
        <v>3</v>
      </c>
      <c r="H661" s="114" t="s">
        <v>1442</v>
      </c>
      <c r="I661" s="112">
        <f t="shared" si="160"/>
        <v>1</v>
      </c>
      <c r="J661" s="112">
        <f t="shared" si="161"/>
        <v>0</v>
      </c>
      <c r="K661" s="115" t="s">
        <v>2545</v>
      </c>
      <c r="L661" s="115" t="s">
        <v>2961</v>
      </c>
      <c r="M661" s="115" t="s">
        <v>3007</v>
      </c>
      <c r="N661" s="115">
        <v>66834</v>
      </c>
      <c r="O661" s="112">
        <v>2</v>
      </c>
      <c r="P661" s="116" t="s">
        <v>2622</v>
      </c>
      <c r="Q661" s="112" t="str">
        <f t="shared" si="162"/>
        <v/>
      </c>
      <c r="R661" s="112">
        <f t="shared" si="163"/>
        <v>1</v>
      </c>
      <c r="S661" s="112">
        <f t="shared" si="166"/>
        <v>0</v>
      </c>
      <c r="T661" s="112">
        <f t="shared" si="167"/>
        <v>0</v>
      </c>
      <c r="U661" s="112">
        <f t="shared" si="168"/>
        <v>1</v>
      </c>
      <c r="V661" s="112">
        <f t="shared" si="169"/>
        <v>1</v>
      </c>
      <c r="W661" s="112">
        <f t="shared" si="170"/>
        <v>-1</v>
      </c>
      <c r="X661" s="112" t="str">
        <f t="shared" si="164"/>
        <v/>
      </c>
      <c r="Y661" s="112" t="str">
        <f t="shared" si="165"/>
        <v/>
      </c>
      <c r="Z661" s="112" t="str">
        <f t="shared" si="171"/>
        <v/>
      </c>
      <c r="AA661" s="112" t="str">
        <f t="shared" si="172"/>
        <v/>
      </c>
      <c r="AB661" s="112" t="str">
        <f t="shared" si="173"/>
        <v/>
      </c>
      <c r="AC661" s="112" t="str">
        <f t="shared" si="174"/>
        <v/>
      </c>
      <c r="AD661" s="112" t="str">
        <f t="shared" si="175"/>
        <v/>
      </c>
    </row>
    <row r="662" spans="1:30" x14ac:dyDescent="0.2">
      <c r="A662" s="112" t="str">
        <f>IF(SUM(Q662:R662)=1,1+MAX($A$1:A661),"")</f>
        <v/>
      </c>
      <c r="B662" s="112" t="str">
        <f>IF(SUM(X662:Y662)=1,1+MAX($B$1:B661),"")</f>
        <v/>
      </c>
      <c r="C662" s="112" t="str">
        <f>IF(SUM(Q662:R662,X662:Y662)=2,1+MAX($C$1:C661),"")</f>
        <v/>
      </c>
      <c r="D662" s="113">
        <v>25726</v>
      </c>
      <c r="E662" s="112">
        <v>1970</v>
      </c>
      <c r="F662" s="112" t="s">
        <v>3024</v>
      </c>
      <c r="G662" s="112">
        <v>2</v>
      </c>
      <c r="H662" s="114" t="s">
        <v>2688</v>
      </c>
      <c r="I662" s="112">
        <f t="shared" si="160"/>
        <v>1</v>
      </c>
      <c r="J662" s="112">
        <f t="shared" si="161"/>
        <v>1</v>
      </c>
      <c r="K662" s="115" t="s">
        <v>2549</v>
      </c>
      <c r="L662" s="115" t="s">
        <v>2978</v>
      </c>
      <c r="M662" s="115" t="s">
        <v>3111</v>
      </c>
      <c r="N662" s="115">
        <v>10000</v>
      </c>
      <c r="O662" s="112">
        <v>2</v>
      </c>
      <c r="P662" s="116" t="s">
        <v>2645</v>
      </c>
      <c r="Q662" s="112" t="str">
        <f t="shared" si="162"/>
        <v/>
      </c>
      <c r="R662" s="112" t="str">
        <f t="shared" si="163"/>
        <v/>
      </c>
      <c r="S662" s="112" t="str">
        <f t="shared" si="166"/>
        <v/>
      </c>
      <c r="T662" s="112" t="str">
        <f t="shared" si="167"/>
        <v/>
      </c>
      <c r="U662" s="112" t="str">
        <f t="shared" si="168"/>
        <v/>
      </c>
      <c r="V662" s="112" t="str">
        <f t="shared" si="169"/>
        <v/>
      </c>
      <c r="W662" s="112" t="str">
        <f t="shared" si="170"/>
        <v/>
      </c>
      <c r="X662" s="112" t="str">
        <f t="shared" si="164"/>
        <v/>
      </c>
      <c r="Y662" s="112" t="str">
        <f t="shared" si="165"/>
        <v/>
      </c>
      <c r="Z662" s="112" t="str">
        <f t="shared" si="171"/>
        <v/>
      </c>
      <c r="AA662" s="112" t="str">
        <f t="shared" si="172"/>
        <v/>
      </c>
      <c r="AB662" s="112" t="str">
        <f t="shared" si="173"/>
        <v/>
      </c>
      <c r="AC662" s="112" t="str">
        <f t="shared" si="174"/>
        <v/>
      </c>
      <c r="AD662" s="112" t="str">
        <f t="shared" si="175"/>
        <v/>
      </c>
    </row>
    <row r="663" spans="1:30" x14ac:dyDescent="0.2">
      <c r="A663" s="112" t="str">
        <f>IF(SUM(Q663:R663)=1,1+MAX($A$1:A662),"")</f>
        <v/>
      </c>
      <c r="B663" s="112" t="str">
        <f>IF(SUM(X663:Y663)=1,1+MAX($B$1:B662),"")</f>
        <v/>
      </c>
      <c r="C663" s="112" t="str">
        <f>IF(SUM(Q663:R663,X663:Y663)=2,1+MAX($C$1:C662),"")</f>
        <v/>
      </c>
      <c r="D663" s="113">
        <v>25726</v>
      </c>
      <c r="E663" s="112">
        <v>1970</v>
      </c>
      <c r="F663" s="112" t="s">
        <v>3035</v>
      </c>
      <c r="G663" s="112">
        <v>1</v>
      </c>
      <c r="H663" s="114" t="s">
        <v>2712</v>
      </c>
      <c r="I663" s="112">
        <f t="shared" si="160"/>
        <v>0</v>
      </c>
      <c r="J663" s="112">
        <f t="shared" si="161"/>
        <v>4</v>
      </c>
      <c r="K663" s="115" t="s">
        <v>1061</v>
      </c>
      <c r="L663" s="115" t="s">
        <v>2957</v>
      </c>
      <c r="M663" s="115" t="s">
        <v>3112</v>
      </c>
      <c r="N663" s="115">
        <v>103000</v>
      </c>
      <c r="O663" s="112">
        <v>3</v>
      </c>
      <c r="P663" s="116" t="s">
        <v>2708</v>
      </c>
      <c r="Q663" s="112" t="str">
        <f t="shared" si="162"/>
        <v/>
      </c>
      <c r="R663" s="112" t="str">
        <f t="shared" si="163"/>
        <v/>
      </c>
      <c r="S663" s="112" t="str">
        <f t="shared" si="166"/>
        <v/>
      </c>
      <c r="T663" s="112" t="str">
        <f t="shared" si="167"/>
        <v/>
      </c>
      <c r="U663" s="112" t="str">
        <f t="shared" si="168"/>
        <v/>
      </c>
      <c r="V663" s="112" t="str">
        <f t="shared" si="169"/>
        <v/>
      </c>
      <c r="W663" s="112" t="str">
        <f t="shared" si="170"/>
        <v/>
      </c>
      <c r="X663" s="112" t="str">
        <f t="shared" si="164"/>
        <v/>
      </c>
      <c r="Y663" s="112" t="str">
        <f t="shared" si="165"/>
        <v/>
      </c>
      <c r="Z663" s="112" t="str">
        <f t="shared" si="171"/>
        <v/>
      </c>
      <c r="AA663" s="112" t="str">
        <f t="shared" si="172"/>
        <v/>
      </c>
      <c r="AB663" s="112" t="str">
        <f t="shared" si="173"/>
        <v/>
      </c>
      <c r="AC663" s="112" t="str">
        <f t="shared" si="174"/>
        <v/>
      </c>
      <c r="AD663" s="112" t="str">
        <f t="shared" si="175"/>
        <v/>
      </c>
    </row>
    <row r="664" spans="1:30" x14ac:dyDescent="0.2">
      <c r="A664" s="112" t="str">
        <f>IF(SUM(Q664:R664)=1,1+MAX($A$1:A663),"")</f>
        <v/>
      </c>
      <c r="B664" s="112" t="str">
        <f>IF(SUM(X664:Y664)=1,1+MAX($B$1:B663),"")</f>
        <v/>
      </c>
      <c r="C664" s="112" t="str">
        <f>IF(SUM(Q664:R664,X664:Y664)=2,1+MAX($C$1:C663),"")</f>
        <v/>
      </c>
      <c r="D664" s="113">
        <v>25725</v>
      </c>
      <c r="E664" s="112">
        <v>1970</v>
      </c>
      <c r="F664" s="112" t="s">
        <v>3020</v>
      </c>
      <c r="G664" s="112">
        <v>4</v>
      </c>
      <c r="H664" s="114" t="s">
        <v>2555</v>
      </c>
      <c r="I664" s="112">
        <f t="shared" si="160"/>
        <v>0</v>
      </c>
      <c r="J664" s="112">
        <f t="shared" si="161"/>
        <v>3</v>
      </c>
      <c r="K664" s="115" t="s">
        <v>2134</v>
      </c>
      <c r="L664" s="115" t="s">
        <v>2971</v>
      </c>
      <c r="M664" s="115" t="s">
        <v>3113</v>
      </c>
      <c r="N664" s="115">
        <v>13537</v>
      </c>
      <c r="O664" s="112">
        <v>2</v>
      </c>
      <c r="P664" s="116" t="s">
        <v>2607</v>
      </c>
      <c r="Q664" s="112" t="str">
        <f t="shared" si="162"/>
        <v/>
      </c>
      <c r="R664" s="112" t="str">
        <f t="shared" si="163"/>
        <v/>
      </c>
      <c r="S664" s="112" t="str">
        <f t="shared" si="166"/>
        <v/>
      </c>
      <c r="T664" s="112" t="str">
        <f t="shared" si="167"/>
        <v/>
      </c>
      <c r="U664" s="112" t="str">
        <f t="shared" si="168"/>
        <v/>
      </c>
      <c r="V664" s="112" t="str">
        <f t="shared" si="169"/>
        <v/>
      </c>
      <c r="W664" s="112" t="str">
        <f t="shared" si="170"/>
        <v/>
      </c>
      <c r="X664" s="112" t="str">
        <f t="shared" si="164"/>
        <v/>
      </c>
      <c r="Y664" s="112" t="str">
        <f t="shared" si="165"/>
        <v/>
      </c>
      <c r="Z664" s="112" t="str">
        <f t="shared" si="171"/>
        <v/>
      </c>
      <c r="AA664" s="112" t="str">
        <f t="shared" si="172"/>
        <v/>
      </c>
      <c r="AB664" s="112" t="str">
        <f t="shared" si="173"/>
        <v/>
      </c>
      <c r="AC664" s="112" t="str">
        <f t="shared" si="174"/>
        <v/>
      </c>
      <c r="AD664" s="112" t="str">
        <f t="shared" si="175"/>
        <v/>
      </c>
    </row>
    <row r="665" spans="1:30" x14ac:dyDescent="0.2">
      <c r="A665" s="112" t="str">
        <f>IF(SUM(Q665:R665)=1,1+MAX($A$1:A664),"")</f>
        <v/>
      </c>
      <c r="B665" s="112" t="str">
        <f>IF(SUM(X665:Y665)=1,1+MAX($B$1:B664),"")</f>
        <v/>
      </c>
      <c r="C665" s="112" t="str">
        <f>IF(SUM(Q665:R665,X665:Y665)=2,1+MAX($C$1:C664),"")</f>
        <v/>
      </c>
      <c r="D665" s="113">
        <v>25725</v>
      </c>
      <c r="E665" s="112">
        <v>1970</v>
      </c>
      <c r="F665" s="112" t="s">
        <v>3033</v>
      </c>
      <c r="G665" s="112">
        <v>3</v>
      </c>
      <c r="H665" s="114" t="s">
        <v>2648</v>
      </c>
      <c r="I665" s="112">
        <f t="shared" si="160"/>
        <v>1</v>
      </c>
      <c r="J665" s="112">
        <f t="shared" si="161"/>
        <v>2</v>
      </c>
      <c r="K665" s="115" t="s">
        <v>2711</v>
      </c>
      <c r="L665" s="115" t="s">
        <v>2961</v>
      </c>
      <c r="M665" s="115" t="s">
        <v>3114</v>
      </c>
      <c r="N665" s="115">
        <v>56818</v>
      </c>
      <c r="O665" s="112">
        <v>2</v>
      </c>
      <c r="P665" s="116" t="s">
        <v>2638</v>
      </c>
      <c r="Q665" s="112" t="str">
        <f t="shared" si="162"/>
        <v/>
      </c>
      <c r="R665" s="112" t="str">
        <f t="shared" si="163"/>
        <v/>
      </c>
      <c r="S665" s="112" t="str">
        <f t="shared" si="166"/>
        <v/>
      </c>
      <c r="T665" s="112" t="str">
        <f t="shared" si="167"/>
        <v/>
      </c>
      <c r="U665" s="112" t="str">
        <f t="shared" si="168"/>
        <v/>
      </c>
      <c r="V665" s="112" t="str">
        <f t="shared" si="169"/>
        <v/>
      </c>
      <c r="W665" s="112" t="str">
        <f t="shared" si="170"/>
        <v/>
      </c>
      <c r="X665" s="112" t="str">
        <f t="shared" si="164"/>
        <v/>
      </c>
      <c r="Y665" s="112" t="str">
        <f t="shared" si="165"/>
        <v/>
      </c>
      <c r="Z665" s="112" t="str">
        <f t="shared" si="171"/>
        <v/>
      </c>
      <c r="AA665" s="112" t="str">
        <f t="shared" si="172"/>
        <v/>
      </c>
      <c r="AB665" s="112" t="str">
        <f t="shared" si="173"/>
        <v/>
      </c>
      <c r="AC665" s="112" t="str">
        <f t="shared" si="174"/>
        <v/>
      </c>
      <c r="AD665" s="112" t="str">
        <f t="shared" si="175"/>
        <v/>
      </c>
    </row>
    <row r="666" spans="1:30" x14ac:dyDescent="0.2">
      <c r="A666" s="112" t="str">
        <f>IF(SUM(Q666:R666)=1,1+MAX($A$1:A665),"")</f>
        <v/>
      </c>
      <c r="B666" s="112" t="str">
        <f>IF(SUM(X666:Y666)=1,1+MAX($B$1:B665),"")</f>
        <v/>
      </c>
      <c r="C666" s="112" t="str">
        <f>IF(SUM(Q666:R666,X666:Y666)=2,1+MAX($C$1:C665),"")</f>
        <v/>
      </c>
      <c r="D666" s="113">
        <v>25725</v>
      </c>
      <c r="E666" s="112">
        <v>1970</v>
      </c>
      <c r="F666" s="112" t="s">
        <v>3024</v>
      </c>
      <c r="G666" s="112">
        <v>2</v>
      </c>
      <c r="H666" s="114" t="s">
        <v>2674</v>
      </c>
      <c r="I666" s="112">
        <f t="shared" si="160"/>
        <v>0</v>
      </c>
      <c r="J666" s="112">
        <f t="shared" si="161"/>
        <v>0</v>
      </c>
      <c r="K666" s="115" t="s">
        <v>2540</v>
      </c>
      <c r="L666" s="115" t="s">
        <v>2959</v>
      </c>
      <c r="M666" s="115" t="s">
        <v>3092</v>
      </c>
      <c r="N666" s="115">
        <v>30000</v>
      </c>
      <c r="O666" s="112">
        <v>3</v>
      </c>
      <c r="P666" s="116" t="s">
        <v>2613</v>
      </c>
      <c r="Q666" s="112" t="str">
        <f t="shared" si="162"/>
        <v/>
      </c>
      <c r="R666" s="112" t="str">
        <f t="shared" si="163"/>
        <v/>
      </c>
      <c r="S666" s="112" t="str">
        <f t="shared" si="166"/>
        <v/>
      </c>
      <c r="T666" s="112" t="str">
        <f t="shared" si="167"/>
        <v/>
      </c>
      <c r="U666" s="112" t="str">
        <f t="shared" si="168"/>
        <v/>
      </c>
      <c r="V666" s="112" t="str">
        <f t="shared" si="169"/>
        <v/>
      </c>
      <c r="W666" s="112" t="str">
        <f t="shared" si="170"/>
        <v/>
      </c>
      <c r="X666" s="112" t="str">
        <f t="shared" si="164"/>
        <v/>
      </c>
      <c r="Y666" s="112" t="str">
        <f t="shared" si="165"/>
        <v/>
      </c>
      <c r="Z666" s="112" t="str">
        <f t="shared" si="171"/>
        <v/>
      </c>
      <c r="AA666" s="112" t="str">
        <f t="shared" si="172"/>
        <v/>
      </c>
      <c r="AB666" s="112" t="str">
        <f t="shared" si="173"/>
        <v/>
      </c>
      <c r="AC666" s="112" t="str">
        <f t="shared" si="174"/>
        <v/>
      </c>
      <c r="AD666" s="112" t="str">
        <f t="shared" si="175"/>
        <v/>
      </c>
    </row>
    <row r="667" spans="1:30" x14ac:dyDescent="0.2">
      <c r="A667" s="112" t="str">
        <f>IF(SUM(Q667:R667)=1,1+MAX($A$1:A666),"")</f>
        <v/>
      </c>
      <c r="B667" s="112" t="str">
        <f>IF(SUM(X667:Y667)=1,1+MAX($B$1:B666),"")</f>
        <v/>
      </c>
      <c r="C667" s="112" t="str">
        <f>IF(SUM(Q667:R667,X667:Y667)=2,1+MAX($C$1:C666),"")</f>
        <v/>
      </c>
      <c r="D667" s="113">
        <v>25725</v>
      </c>
      <c r="E667" s="112">
        <v>1970</v>
      </c>
      <c r="F667" s="112" t="s">
        <v>3035</v>
      </c>
      <c r="G667" s="112">
        <v>1</v>
      </c>
      <c r="H667" s="114" t="s">
        <v>2554</v>
      </c>
      <c r="I667" s="112">
        <f t="shared" si="160"/>
        <v>1</v>
      </c>
      <c r="J667" s="112">
        <f t="shared" si="161"/>
        <v>4</v>
      </c>
      <c r="K667" s="115" t="s">
        <v>2720</v>
      </c>
      <c r="L667" s="115" t="s">
        <v>2957</v>
      </c>
      <c r="M667" s="115" t="s">
        <v>3093</v>
      </c>
      <c r="N667" s="115">
        <v>59000</v>
      </c>
      <c r="O667" s="112">
        <v>2</v>
      </c>
      <c r="P667" s="116" t="s">
        <v>2743</v>
      </c>
      <c r="Q667" s="112" t="str">
        <f t="shared" si="162"/>
        <v/>
      </c>
      <c r="R667" s="112" t="str">
        <f t="shared" si="163"/>
        <v/>
      </c>
      <c r="S667" s="112" t="str">
        <f t="shared" si="166"/>
        <v/>
      </c>
      <c r="T667" s="112" t="str">
        <f t="shared" si="167"/>
        <v/>
      </c>
      <c r="U667" s="112" t="str">
        <f t="shared" si="168"/>
        <v/>
      </c>
      <c r="V667" s="112" t="str">
        <f t="shared" si="169"/>
        <v/>
      </c>
      <c r="W667" s="112" t="str">
        <f t="shared" si="170"/>
        <v/>
      </c>
      <c r="X667" s="112" t="str">
        <f t="shared" si="164"/>
        <v/>
      </c>
      <c r="Y667" s="112" t="str">
        <f t="shared" si="165"/>
        <v/>
      </c>
      <c r="Z667" s="112" t="str">
        <f t="shared" si="171"/>
        <v/>
      </c>
      <c r="AA667" s="112" t="str">
        <f t="shared" si="172"/>
        <v/>
      </c>
      <c r="AB667" s="112" t="str">
        <f t="shared" si="173"/>
        <v/>
      </c>
      <c r="AC667" s="112" t="str">
        <f t="shared" si="174"/>
        <v/>
      </c>
      <c r="AD667" s="112" t="str">
        <f t="shared" si="175"/>
        <v/>
      </c>
    </row>
    <row r="668" spans="1:30" x14ac:dyDescent="0.2">
      <c r="A668" s="112" t="str">
        <f>IF(SUM(Q668:R668)=1,1+MAX($A$1:A667),"")</f>
        <v/>
      </c>
      <c r="B668" s="112" t="str">
        <f>IF(SUM(X668:Y668)=1,1+MAX($B$1:B667),"")</f>
        <v/>
      </c>
      <c r="C668" s="112" t="str">
        <f>IF(SUM(Q668:R668,X668:Y668)=2,1+MAX($C$1:C667),"")</f>
        <v/>
      </c>
      <c r="D668" s="113">
        <v>25722</v>
      </c>
      <c r="E668" s="112">
        <v>1970</v>
      </c>
      <c r="F668" s="112" t="s">
        <v>3020</v>
      </c>
      <c r="G668" s="112">
        <v>4</v>
      </c>
      <c r="H668" s="114" t="s">
        <v>2547</v>
      </c>
      <c r="I668" s="112">
        <f t="shared" si="160"/>
        <v>2</v>
      </c>
      <c r="J668" s="112">
        <f t="shared" si="161"/>
        <v>1</v>
      </c>
      <c r="K668" s="115" t="s">
        <v>2555</v>
      </c>
      <c r="L668" s="115" t="s">
        <v>2971</v>
      </c>
      <c r="M668" s="115" t="s">
        <v>3103</v>
      </c>
      <c r="N668" s="115">
        <v>12942</v>
      </c>
      <c r="O668" s="112">
        <v>2</v>
      </c>
      <c r="P668" s="116" t="s">
        <v>2626</v>
      </c>
      <c r="Q668" s="112" t="str">
        <f t="shared" si="162"/>
        <v/>
      </c>
      <c r="R668" s="112" t="str">
        <f t="shared" si="163"/>
        <v/>
      </c>
      <c r="S668" s="112" t="str">
        <f t="shared" si="166"/>
        <v/>
      </c>
      <c r="T668" s="112" t="str">
        <f t="shared" si="167"/>
        <v/>
      </c>
      <c r="U668" s="112" t="str">
        <f t="shared" si="168"/>
        <v/>
      </c>
      <c r="V668" s="112" t="str">
        <f t="shared" si="169"/>
        <v/>
      </c>
      <c r="W668" s="112" t="str">
        <f t="shared" si="170"/>
        <v/>
      </c>
      <c r="X668" s="112" t="str">
        <f t="shared" si="164"/>
        <v/>
      </c>
      <c r="Y668" s="112" t="str">
        <f t="shared" si="165"/>
        <v/>
      </c>
      <c r="Z668" s="112" t="str">
        <f t="shared" si="171"/>
        <v/>
      </c>
      <c r="AA668" s="112" t="str">
        <f t="shared" si="172"/>
        <v/>
      </c>
      <c r="AB668" s="112" t="str">
        <f t="shared" si="173"/>
        <v/>
      </c>
      <c r="AC668" s="112" t="str">
        <f t="shared" si="174"/>
        <v/>
      </c>
      <c r="AD668" s="112" t="str">
        <f t="shared" si="175"/>
        <v/>
      </c>
    </row>
    <row r="669" spans="1:30" x14ac:dyDescent="0.2">
      <c r="A669" s="112" t="str">
        <f>IF(SUM(Q669:R669)=1,1+MAX($A$1:A668),"")</f>
        <v/>
      </c>
      <c r="B669" s="112" t="str">
        <f>IF(SUM(X669:Y669)=1,1+MAX($B$1:B668),"")</f>
        <v/>
      </c>
      <c r="C669" s="112" t="str">
        <f>IF(SUM(Q669:R669,X669:Y669)=2,1+MAX($C$1:C668),"")</f>
        <v/>
      </c>
      <c r="D669" s="113">
        <v>25722</v>
      </c>
      <c r="E669" s="112">
        <v>1970</v>
      </c>
      <c r="F669" s="112" t="s">
        <v>3033</v>
      </c>
      <c r="G669" s="112">
        <v>3</v>
      </c>
      <c r="H669" s="114" t="s">
        <v>1442</v>
      </c>
      <c r="I669" s="112">
        <f t="shared" si="160"/>
        <v>4</v>
      </c>
      <c r="J669" s="112">
        <f t="shared" si="161"/>
        <v>1</v>
      </c>
      <c r="K669" s="115" t="s">
        <v>2648</v>
      </c>
      <c r="L669" s="115" t="s">
        <v>2961</v>
      </c>
      <c r="M669" s="115" t="s">
        <v>3069</v>
      </c>
      <c r="N669" s="115">
        <v>52897</v>
      </c>
      <c r="O669" s="112">
        <v>2</v>
      </c>
      <c r="P669" s="116" t="s">
        <v>2683</v>
      </c>
      <c r="Q669" s="112" t="str">
        <f t="shared" si="162"/>
        <v/>
      </c>
      <c r="R669" s="112" t="str">
        <f t="shared" si="163"/>
        <v/>
      </c>
      <c r="S669" s="112" t="str">
        <f t="shared" si="166"/>
        <v/>
      </c>
      <c r="T669" s="112" t="str">
        <f t="shared" si="167"/>
        <v/>
      </c>
      <c r="U669" s="112" t="str">
        <f t="shared" si="168"/>
        <v/>
      </c>
      <c r="V669" s="112" t="str">
        <f t="shared" si="169"/>
        <v/>
      </c>
      <c r="W669" s="112" t="str">
        <f t="shared" si="170"/>
        <v/>
      </c>
      <c r="X669" s="112" t="str">
        <f t="shared" si="164"/>
        <v/>
      </c>
      <c r="Y669" s="112" t="str">
        <f t="shared" si="165"/>
        <v/>
      </c>
      <c r="Z669" s="112" t="str">
        <f t="shared" si="171"/>
        <v/>
      </c>
      <c r="AA669" s="112" t="str">
        <f t="shared" si="172"/>
        <v/>
      </c>
      <c r="AB669" s="112" t="str">
        <f t="shared" si="173"/>
        <v/>
      </c>
      <c r="AC669" s="112" t="str">
        <f t="shared" si="174"/>
        <v/>
      </c>
      <c r="AD669" s="112" t="str">
        <f t="shared" si="175"/>
        <v/>
      </c>
    </row>
    <row r="670" spans="1:30" x14ac:dyDescent="0.2">
      <c r="A670" s="112" t="str">
        <f>IF(SUM(Q670:R670)=1,1+MAX($A$1:A669),"")</f>
        <v/>
      </c>
      <c r="B670" s="112" t="str">
        <f>IF(SUM(X670:Y670)=1,1+MAX($B$1:B669),"")</f>
        <v/>
      </c>
      <c r="C670" s="112" t="str">
        <f>IF(SUM(Q670:R670,X670:Y670)=2,1+MAX($C$1:C669),"")</f>
        <v/>
      </c>
      <c r="D670" s="113">
        <v>25722</v>
      </c>
      <c r="E670" s="112">
        <v>1970</v>
      </c>
      <c r="F670" s="112" t="s">
        <v>3024</v>
      </c>
      <c r="G670" s="112">
        <v>2</v>
      </c>
      <c r="H670" s="114" t="s">
        <v>2674</v>
      </c>
      <c r="I670" s="112">
        <f t="shared" si="160"/>
        <v>1</v>
      </c>
      <c r="J670" s="112">
        <f t="shared" si="161"/>
        <v>0</v>
      </c>
      <c r="K670" s="115" t="s">
        <v>2549</v>
      </c>
      <c r="L670" s="115" t="s">
        <v>2978</v>
      </c>
      <c r="M670" s="115" t="s">
        <v>3085</v>
      </c>
      <c r="N670" s="115">
        <v>14000</v>
      </c>
      <c r="O670" s="112">
        <v>2</v>
      </c>
      <c r="P670" s="116" t="s">
        <v>2622</v>
      </c>
      <c r="Q670" s="112" t="str">
        <f t="shared" si="162"/>
        <v/>
      </c>
      <c r="R670" s="112" t="str">
        <f t="shared" si="163"/>
        <v/>
      </c>
      <c r="S670" s="112" t="str">
        <f t="shared" si="166"/>
        <v/>
      </c>
      <c r="T670" s="112" t="str">
        <f t="shared" si="167"/>
        <v/>
      </c>
      <c r="U670" s="112" t="str">
        <f t="shared" si="168"/>
        <v/>
      </c>
      <c r="V670" s="112" t="str">
        <f t="shared" si="169"/>
        <v/>
      </c>
      <c r="W670" s="112" t="str">
        <f t="shared" si="170"/>
        <v/>
      </c>
      <c r="X670" s="112" t="str">
        <f t="shared" si="164"/>
        <v/>
      </c>
      <c r="Y670" s="112" t="str">
        <f t="shared" si="165"/>
        <v/>
      </c>
      <c r="Z670" s="112" t="str">
        <f t="shared" si="171"/>
        <v/>
      </c>
      <c r="AA670" s="112" t="str">
        <f t="shared" si="172"/>
        <v/>
      </c>
      <c r="AB670" s="112" t="str">
        <f t="shared" si="173"/>
        <v/>
      </c>
      <c r="AC670" s="112" t="str">
        <f t="shared" si="174"/>
        <v/>
      </c>
      <c r="AD670" s="112" t="str">
        <f t="shared" si="175"/>
        <v/>
      </c>
    </row>
    <row r="671" spans="1:30" x14ac:dyDescent="0.2">
      <c r="A671" s="112" t="str">
        <f>IF(SUM(Q671:R671)=1,1+MAX($A$1:A670),"")</f>
        <v/>
      </c>
      <c r="B671" s="112" t="str">
        <f>IF(SUM(X671:Y671)=1,1+MAX($B$1:B670),"")</f>
        <v/>
      </c>
      <c r="C671" s="112" t="str">
        <f>IF(SUM(Q671:R671,X671:Y671)=2,1+MAX($C$1:C670),"")</f>
        <v/>
      </c>
      <c r="D671" s="113">
        <v>25722</v>
      </c>
      <c r="E671" s="112">
        <v>1970</v>
      </c>
      <c r="F671" s="112" t="s">
        <v>3035</v>
      </c>
      <c r="G671" s="112">
        <v>1</v>
      </c>
      <c r="H671" s="114" t="s">
        <v>2554</v>
      </c>
      <c r="I671" s="112">
        <f t="shared" si="160"/>
        <v>3</v>
      </c>
      <c r="J671" s="112">
        <f t="shared" si="161"/>
        <v>0</v>
      </c>
      <c r="K671" s="115" t="s">
        <v>2712</v>
      </c>
      <c r="L671" s="115" t="s">
        <v>2957</v>
      </c>
      <c r="M671" s="115" t="s">
        <v>3115</v>
      </c>
      <c r="N671" s="115">
        <v>92000</v>
      </c>
      <c r="O671" s="112">
        <v>3</v>
      </c>
      <c r="P671" s="116" t="s">
        <v>2713</v>
      </c>
      <c r="Q671" s="112" t="str">
        <f t="shared" si="162"/>
        <v/>
      </c>
      <c r="R671" s="112" t="str">
        <f t="shared" si="163"/>
        <v/>
      </c>
      <c r="S671" s="112" t="str">
        <f t="shared" si="166"/>
        <v/>
      </c>
      <c r="T671" s="112" t="str">
        <f t="shared" si="167"/>
        <v/>
      </c>
      <c r="U671" s="112" t="str">
        <f t="shared" si="168"/>
        <v/>
      </c>
      <c r="V671" s="112" t="str">
        <f t="shared" si="169"/>
        <v/>
      </c>
      <c r="W671" s="112" t="str">
        <f t="shared" si="170"/>
        <v/>
      </c>
      <c r="X671" s="112" t="str">
        <f t="shared" si="164"/>
        <v/>
      </c>
      <c r="Y671" s="112" t="str">
        <f t="shared" si="165"/>
        <v/>
      </c>
      <c r="Z671" s="112" t="str">
        <f t="shared" si="171"/>
        <v/>
      </c>
      <c r="AA671" s="112" t="str">
        <f t="shared" si="172"/>
        <v/>
      </c>
      <c r="AB671" s="112" t="str">
        <f t="shared" si="173"/>
        <v/>
      </c>
      <c r="AC671" s="112" t="str">
        <f t="shared" si="174"/>
        <v/>
      </c>
      <c r="AD671" s="112" t="str">
        <f t="shared" si="175"/>
        <v/>
      </c>
    </row>
    <row r="672" spans="1:30" x14ac:dyDescent="0.2">
      <c r="A672" s="112" t="str">
        <f>IF(SUM(Q672:R672)=1,1+MAX($A$1:A671),"")</f>
        <v/>
      </c>
      <c r="B672" s="112" t="str">
        <f>IF(SUM(X672:Y672)=1,1+MAX($B$1:B671),"")</f>
        <v/>
      </c>
      <c r="C672" s="112" t="str">
        <f>IF(SUM(Q672:R672,X672:Y672)=2,1+MAX($C$1:C671),"")</f>
        <v/>
      </c>
      <c r="D672" s="113">
        <v>25721</v>
      </c>
      <c r="E672" s="112">
        <v>1970</v>
      </c>
      <c r="F672" s="112" t="s">
        <v>3020</v>
      </c>
      <c r="G672" s="112">
        <v>4</v>
      </c>
      <c r="H672" s="114" t="s">
        <v>2631</v>
      </c>
      <c r="I672" s="112">
        <f t="shared" si="160"/>
        <v>2</v>
      </c>
      <c r="J672" s="112">
        <f t="shared" si="161"/>
        <v>3</v>
      </c>
      <c r="K672" s="115" t="s">
        <v>2134</v>
      </c>
      <c r="L672" s="115" t="s">
        <v>2971</v>
      </c>
      <c r="M672" s="115" t="s">
        <v>3099</v>
      </c>
      <c r="N672" s="115">
        <v>13765</v>
      </c>
      <c r="O672" s="112">
        <v>2</v>
      </c>
      <c r="P672" s="116" t="s">
        <v>2706</v>
      </c>
      <c r="Q672" s="112" t="str">
        <f t="shared" si="162"/>
        <v/>
      </c>
      <c r="R672" s="112" t="str">
        <f t="shared" si="163"/>
        <v/>
      </c>
      <c r="S672" s="112" t="str">
        <f t="shared" si="166"/>
        <v/>
      </c>
      <c r="T672" s="112" t="str">
        <f t="shared" si="167"/>
        <v/>
      </c>
      <c r="U672" s="112" t="str">
        <f t="shared" si="168"/>
        <v/>
      </c>
      <c r="V672" s="112" t="str">
        <f t="shared" si="169"/>
        <v/>
      </c>
      <c r="W672" s="112" t="str">
        <f t="shared" si="170"/>
        <v/>
      </c>
      <c r="X672" s="112" t="str">
        <f t="shared" si="164"/>
        <v/>
      </c>
      <c r="Y672" s="112" t="str">
        <f t="shared" si="165"/>
        <v/>
      </c>
      <c r="Z672" s="112" t="str">
        <f t="shared" si="171"/>
        <v/>
      </c>
      <c r="AA672" s="112" t="str">
        <f t="shared" si="172"/>
        <v/>
      </c>
      <c r="AB672" s="112" t="str">
        <f t="shared" si="173"/>
        <v/>
      </c>
      <c r="AC672" s="112" t="str">
        <f t="shared" si="174"/>
        <v/>
      </c>
      <c r="AD672" s="112" t="str">
        <f t="shared" si="175"/>
        <v/>
      </c>
    </row>
    <row r="673" spans="1:30" x14ac:dyDescent="0.2">
      <c r="A673" s="112">
        <f>IF(SUM(Q673:R673)=1,1+MAX($A$1:A672),"")</f>
        <v>42</v>
      </c>
      <c r="B673" s="112" t="str">
        <f>IF(SUM(X673:Y673)=1,1+MAX($B$1:B672),"")</f>
        <v/>
      </c>
      <c r="C673" s="112" t="str">
        <f>IF(SUM(Q673:R673,X673:Y673)=2,1+MAX($C$1:C672),"")</f>
        <v/>
      </c>
      <c r="D673" s="113">
        <v>25721</v>
      </c>
      <c r="E673" s="112">
        <v>1970</v>
      </c>
      <c r="F673" s="112" t="s">
        <v>3033</v>
      </c>
      <c r="G673" s="112">
        <v>3</v>
      </c>
      <c r="H673" s="114" t="s">
        <v>2545</v>
      </c>
      <c r="I673" s="112">
        <f t="shared" si="160"/>
        <v>1</v>
      </c>
      <c r="J673" s="112">
        <f t="shared" si="161"/>
        <v>0</v>
      </c>
      <c r="K673" s="115" t="s">
        <v>2711</v>
      </c>
      <c r="L673" s="115" t="s">
        <v>2961</v>
      </c>
      <c r="M673" s="115" t="s">
        <v>3116</v>
      </c>
      <c r="N673" s="115">
        <v>50560</v>
      </c>
      <c r="O673" s="112">
        <v>2</v>
      </c>
      <c r="P673" s="116" t="s">
        <v>2622</v>
      </c>
      <c r="Q673" s="112">
        <f t="shared" si="162"/>
        <v>1</v>
      </c>
      <c r="R673" s="112" t="str">
        <f t="shared" si="163"/>
        <v/>
      </c>
      <c r="S673" s="112">
        <f t="shared" si="166"/>
        <v>1</v>
      </c>
      <c r="T673" s="112">
        <f t="shared" si="167"/>
        <v>0</v>
      </c>
      <c r="U673" s="112">
        <f t="shared" si="168"/>
        <v>0</v>
      </c>
      <c r="V673" s="112">
        <f t="shared" si="169"/>
        <v>1</v>
      </c>
      <c r="W673" s="112">
        <f t="shared" si="170"/>
        <v>1</v>
      </c>
      <c r="X673" s="112" t="str">
        <f t="shared" si="164"/>
        <v/>
      </c>
      <c r="Y673" s="112" t="str">
        <f t="shared" si="165"/>
        <v/>
      </c>
      <c r="Z673" s="112" t="str">
        <f t="shared" si="171"/>
        <v/>
      </c>
      <c r="AA673" s="112" t="str">
        <f t="shared" si="172"/>
        <v/>
      </c>
      <c r="AB673" s="112" t="str">
        <f t="shared" si="173"/>
        <v/>
      </c>
      <c r="AC673" s="112" t="str">
        <f t="shared" si="174"/>
        <v/>
      </c>
      <c r="AD673" s="112" t="str">
        <f t="shared" si="175"/>
        <v/>
      </c>
    </row>
    <row r="674" spans="1:30" x14ac:dyDescent="0.2">
      <c r="A674" s="112" t="str">
        <f>IF(SUM(Q674:R674)=1,1+MAX($A$1:A673),"")</f>
        <v/>
      </c>
      <c r="B674" s="112" t="str">
        <f>IF(SUM(X674:Y674)=1,1+MAX($B$1:B673),"")</f>
        <v/>
      </c>
      <c r="C674" s="112" t="str">
        <f>IF(SUM(Q674:R674,X674:Y674)=2,1+MAX($C$1:C673),"")</f>
        <v/>
      </c>
      <c r="D674" s="113">
        <v>25721</v>
      </c>
      <c r="E674" s="112">
        <v>1970</v>
      </c>
      <c r="F674" s="112" t="s">
        <v>3024</v>
      </c>
      <c r="G674" s="112">
        <v>2</v>
      </c>
      <c r="H674" s="114" t="s">
        <v>2688</v>
      </c>
      <c r="I674" s="112">
        <f t="shared" si="160"/>
        <v>0</v>
      </c>
      <c r="J674" s="112">
        <f t="shared" si="161"/>
        <v>2</v>
      </c>
      <c r="K674" s="115" t="s">
        <v>2540</v>
      </c>
      <c r="L674" s="115" t="s">
        <v>2959</v>
      </c>
      <c r="M674" s="115" t="s">
        <v>3096</v>
      </c>
      <c r="N674" s="115">
        <v>20000</v>
      </c>
      <c r="O674" s="112">
        <v>3</v>
      </c>
      <c r="P674" s="116" t="s">
        <v>2687</v>
      </c>
      <c r="Q674" s="112" t="str">
        <f t="shared" si="162"/>
        <v/>
      </c>
      <c r="R674" s="112" t="str">
        <f t="shared" si="163"/>
        <v/>
      </c>
      <c r="S674" s="112" t="str">
        <f t="shared" si="166"/>
        <v/>
      </c>
      <c r="T674" s="112" t="str">
        <f t="shared" si="167"/>
        <v/>
      </c>
      <c r="U674" s="112" t="str">
        <f t="shared" si="168"/>
        <v/>
      </c>
      <c r="V674" s="112" t="str">
        <f t="shared" si="169"/>
        <v/>
      </c>
      <c r="W674" s="112" t="str">
        <f t="shared" si="170"/>
        <v/>
      </c>
      <c r="X674" s="112" t="str">
        <f t="shared" si="164"/>
        <v/>
      </c>
      <c r="Y674" s="112" t="str">
        <f t="shared" si="165"/>
        <v/>
      </c>
      <c r="Z674" s="112" t="str">
        <f t="shared" si="171"/>
        <v/>
      </c>
      <c r="AA674" s="112" t="str">
        <f t="shared" si="172"/>
        <v/>
      </c>
      <c r="AB674" s="112" t="str">
        <f t="shared" si="173"/>
        <v/>
      </c>
      <c r="AC674" s="112" t="str">
        <f t="shared" si="174"/>
        <v/>
      </c>
      <c r="AD674" s="112" t="str">
        <f t="shared" si="175"/>
        <v/>
      </c>
    </row>
    <row r="675" spans="1:30" x14ac:dyDescent="0.2">
      <c r="A675" s="112" t="str">
        <f>IF(SUM(Q675:R675)=1,1+MAX($A$1:A674),"")</f>
        <v/>
      </c>
      <c r="B675" s="112" t="str">
        <f>IF(SUM(X675:Y675)=1,1+MAX($B$1:B674),"")</f>
        <v/>
      </c>
      <c r="C675" s="112" t="str">
        <f>IF(SUM(Q675:R675,X675:Y675)=2,1+MAX($C$1:C674),"")</f>
        <v/>
      </c>
      <c r="D675" s="113">
        <v>25719</v>
      </c>
      <c r="E675" s="112">
        <v>1970</v>
      </c>
      <c r="F675" s="112" t="s">
        <v>3035</v>
      </c>
      <c r="G675" s="112">
        <v>1</v>
      </c>
      <c r="H675" s="114" t="s">
        <v>1061</v>
      </c>
      <c r="I675" s="112">
        <f t="shared" si="160"/>
        <v>0</v>
      </c>
      <c r="J675" s="112">
        <f t="shared" si="161"/>
        <v>0</v>
      </c>
      <c r="K675" s="115" t="s">
        <v>2720</v>
      </c>
      <c r="L675" s="115" t="s">
        <v>2957</v>
      </c>
      <c r="M675" s="115" t="s">
        <v>3089</v>
      </c>
      <c r="N675" s="115">
        <v>107000</v>
      </c>
      <c r="O675" s="112">
        <v>2</v>
      </c>
      <c r="P675" s="116" t="s">
        <v>2613</v>
      </c>
      <c r="Q675" s="112" t="str">
        <f t="shared" si="162"/>
        <v/>
      </c>
      <c r="R675" s="112" t="str">
        <f t="shared" si="163"/>
        <v/>
      </c>
      <c r="S675" s="112" t="str">
        <f t="shared" si="166"/>
        <v/>
      </c>
      <c r="T675" s="112" t="str">
        <f t="shared" si="167"/>
        <v/>
      </c>
      <c r="U675" s="112" t="str">
        <f t="shared" si="168"/>
        <v/>
      </c>
      <c r="V675" s="112" t="str">
        <f t="shared" si="169"/>
        <v/>
      </c>
      <c r="W675" s="112" t="str">
        <f t="shared" si="170"/>
        <v/>
      </c>
      <c r="X675" s="112" t="str">
        <f t="shared" si="164"/>
        <v/>
      </c>
      <c r="Y675" s="112" t="str">
        <f t="shared" si="165"/>
        <v/>
      </c>
      <c r="Z675" s="112" t="str">
        <f t="shared" si="171"/>
        <v/>
      </c>
      <c r="AA675" s="112" t="str">
        <f t="shared" si="172"/>
        <v/>
      </c>
      <c r="AB675" s="112" t="str">
        <f t="shared" si="173"/>
        <v/>
      </c>
      <c r="AC675" s="112" t="str">
        <f t="shared" si="174"/>
        <v/>
      </c>
      <c r="AD675" s="112" t="str">
        <f t="shared" si="175"/>
        <v/>
      </c>
    </row>
    <row r="676" spans="1:30" x14ac:dyDescent="0.2">
      <c r="A676" s="112">
        <f>IF(SUM(Q676:R676)=1,1+MAX($A$1:A675),"")</f>
        <v>43</v>
      </c>
      <c r="B676" s="112" t="str">
        <f>IF(SUM(X676:Y676)=1,1+MAX($B$1:B675),"")</f>
        <v/>
      </c>
      <c r="C676" s="112" t="str">
        <f>IF(SUM(Q676:R676,X676:Y676)=2,1+MAX($C$1:C675),"")</f>
        <v/>
      </c>
      <c r="D676" s="113">
        <v>24318</v>
      </c>
      <c r="E676" s="112">
        <v>1966</v>
      </c>
      <c r="F676" s="112" t="s">
        <v>2597</v>
      </c>
      <c r="H676" s="114" t="s">
        <v>2545</v>
      </c>
      <c r="I676" s="112">
        <f t="shared" si="160"/>
        <v>4</v>
      </c>
      <c r="J676" s="112">
        <f t="shared" si="161"/>
        <v>2</v>
      </c>
      <c r="K676" s="115" t="s">
        <v>2547</v>
      </c>
      <c r="L676" s="115" t="s">
        <v>3117</v>
      </c>
      <c r="M676" s="115" t="s">
        <v>3118</v>
      </c>
      <c r="N676" s="115">
        <v>98000</v>
      </c>
      <c r="O676" s="112">
        <v>2</v>
      </c>
      <c r="P676" s="116" t="s">
        <v>2695</v>
      </c>
      <c r="Q676" s="112">
        <f t="shared" si="162"/>
        <v>1</v>
      </c>
      <c r="R676" s="112" t="str">
        <f t="shared" si="163"/>
        <v/>
      </c>
      <c r="S676" s="112">
        <f t="shared" si="166"/>
        <v>1</v>
      </c>
      <c r="T676" s="112">
        <f t="shared" si="167"/>
        <v>0</v>
      </c>
      <c r="U676" s="112">
        <f t="shared" si="168"/>
        <v>0</v>
      </c>
      <c r="V676" s="112">
        <f t="shared" si="169"/>
        <v>6</v>
      </c>
      <c r="W676" s="112">
        <f t="shared" si="170"/>
        <v>2</v>
      </c>
      <c r="X676" s="112" t="str">
        <f t="shared" si="164"/>
        <v/>
      </c>
      <c r="Y676" s="112" t="str">
        <f t="shared" si="165"/>
        <v/>
      </c>
      <c r="Z676" s="112" t="str">
        <f t="shared" si="171"/>
        <v/>
      </c>
      <c r="AA676" s="112" t="str">
        <f t="shared" si="172"/>
        <v/>
      </c>
      <c r="AB676" s="112" t="str">
        <f t="shared" si="173"/>
        <v/>
      </c>
      <c r="AC676" s="112" t="str">
        <f t="shared" si="174"/>
        <v/>
      </c>
      <c r="AD676" s="112" t="str">
        <f t="shared" si="175"/>
        <v/>
      </c>
    </row>
    <row r="677" spans="1:30" x14ac:dyDescent="0.2">
      <c r="A677" s="112" t="str">
        <f>IF(SUM(Q677:R677)=1,1+MAX($A$1:A676),"")</f>
        <v/>
      </c>
      <c r="B677" s="112" t="str">
        <f>IF(SUM(X677:Y677)=1,1+MAX($B$1:B676),"")</f>
        <v/>
      </c>
      <c r="C677" s="112" t="str">
        <f>IF(SUM(Q677:R677,X677:Y677)=2,1+MAX($C$1:C676),"")</f>
        <v/>
      </c>
      <c r="D677" s="113">
        <v>24316</v>
      </c>
      <c r="E677" s="112">
        <v>1966</v>
      </c>
      <c r="F677" s="112" t="s">
        <v>2602</v>
      </c>
      <c r="H677" s="114" t="s">
        <v>2556</v>
      </c>
      <c r="I677" s="112">
        <f t="shared" si="160"/>
        <v>2</v>
      </c>
      <c r="J677" s="112">
        <f t="shared" si="161"/>
        <v>1</v>
      </c>
      <c r="K677" s="115" t="s">
        <v>2720</v>
      </c>
      <c r="L677" s="115" t="s">
        <v>3117</v>
      </c>
      <c r="N677" s="115">
        <v>87696</v>
      </c>
      <c r="O677" s="112">
        <v>1</v>
      </c>
      <c r="P677" s="116" t="s">
        <v>2626</v>
      </c>
      <c r="Q677" s="112" t="str">
        <f t="shared" si="162"/>
        <v/>
      </c>
      <c r="R677" s="112" t="str">
        <f t="shared" si="163"/>
        <v/>
      </c>
      <c r="S677" s="112" t="str">
        <f t="shared" si="166"/>
        <v/>
      </c>
      <c r="T677" s="112" t="str">
        <f t="shared" si="167"/>
        <v/>
      </c>
      <c r="U677" s="112" t="str">
        <f t="shared" si="168"/>
        <v/>
      </c>
      <c r="V677" s="112" t="str">
        <f t="shared" si="169"/>
        <v/>
      </c>
      <c r="W677" s="112" t="str">
        <f t="shared" si="170"/>
        <v/>
      </c>
      <c r="X677" s="112" t="str">
        <f t="shared" si="164"/>
        <v/>
      </c>
      <c r="Y677" s="112" t="str">
        <f t="shared" si="165"/>
        <v/>
      </c>
      <c r="Z677" s="112" t="str">
        <f t="shared" si="171"/>
        <v/>
      </c>
      <c r="AA677" s="112" t="str">
        <f t="shared" si="172"/>
        <v/>
      </c>
      <c r="AB677" s="112" t="str">
        <f t="shared" si="173"/>
        <v/>
      </c>
      <c r="AC677" s="112" t="str">
        <f t="shared" si="174"/>
        <v/>
      </c>
      <c r="AD677" s="112" t="str">
        <f t="shared" si="175"/>
        <v/>
      </c>
    </row>
    <row r="678" spans="1:30" x14ac:dyDescent="0.2">
      <c r="A678" s="112">
        <f>IF(SUM(Q678:R678)=1,1+MAX($A$1:A677),"")</f>
        <v>44</v>
      </c>
      <c r="B678" s="112" t="str">
        <f>IF(SUM(X678:Y678)=1,1+MAX($B$1:B677),"")</f>
        <v/>
      </c>
      <c r="C678" s="112" t="str">
        <f>IF(SUM(Q678:R678,X678:Y678)=2,1+MAX($C$1:C677),"")</f>
        <v/>
      </c>
      <c r="D678" s="113">
        <v>24314</v>
      </c>
      <c r="E678" s="112">
        <v>1966</v>
      </c>
      <c r="F678" s="112" t="s">
        <v>2609</v>
      </c>
      <c r="H678" s="114" t="s">
        <v>2545</v>
      </c>
      <c r="I678" s="112">
        <f t="shared" si="160"/>
        <v>2</v>
      </c>
      <c r="J678" s="112">
        <f t="shared" si="161"/>
        <v>1</v>
      </c>
      <c r="K678" s="115" t="s">
        <v>2556</v>
      </c>
      <c r="L678" s="115" t="s">
        <v>3117</v>
      </c>
      <c r="M678" s="115" t="s">
        <v>3119</v>
      </c>
      <c r="N678" s="115">
        <v>95000</v>
      </c>
      <c r="O678" s="112">
        <v>3</v>
      </c>
      <c r="P678" s="116" t="s">
        <v>2626</v>
      </c>
      <c r="Q678" s="112">
        <f t="shared" si="162"/>
        <v>1</v>
      </c>
      <c r="R678" s="112" t="str">
        <f t="shared" si="163"/>
        <v/>
      </c>
      <c r="S678" s="112">
        <f t="shared" si="166"/>
        <v>1</v>
      </c>
      <c r="T678" s="112">
        <f t="shared" si="167"/>
        <v>0</v>
      </c>
      <c r="U678" s="112">
        <f t="shared" si="168"/>
        <v>0</v>
      </c>
      <c r="V678" s="112">
        <f t="shared" si="169"/>
        <v>3</v>
      </c>
      <c r="W678" s="112">
        <f t="shared" si="170"/>
        <v>1</v>
      </c>
      <c r="X678" s="112" t="str">
        <f t="shared" si="164"/>
        <v/>
      </c>
      <c r="Y678" s="112" t="str">
        <f t="shared" si="165"/>
        <v/>
      </c>
      <c r="Z678" s="112" t="str">
        <f t="shared" si="171"/>
        <v/>
      </c>
      <c r="AA678" s="112" t="str">
        <f t="shared" si="172"/>
        <v/>
      </c>
      <c r="AB678" s="112" t="str">
        <f t="shared" si="173"/>
        <v/>
      </c>
      <c r="AC678" s="112" t="str">
        <f t="shared" si="174"/>
        <v/>
      </c>
      <c r="AD678" s="112" t="str">
        <f t="shared" si="175"/>
        <v/>
      </c>
    </row>
    <row r="679" spans="1:30" x14ac:dyDescent="0.2">
      <c r="A679" s="112" t="str">
        <f>IF(SUM(Q679:R679)=1,1+MAX($A$1:A678),"")</f>
        <v/>
      </c>
      <c r="B679" s="112" t="str">
        <f>IF(SUM(X679:Y679)=1,1+MAX($B$1:B678),"")</f>
        <v/>
      </c>
      <c r="C679" s="112" t="str">
        <f>IF(SUM(Q679:R679,X679:Y679)=2,1+MAX($C$1:C678),"")</f>
        <v/>
      </c>
      <c r="D679" s="113">
        <v>24313</v>
      </c>
      <c r="E679" s="112">
        <v>1966</v>
      </c>
      <c r="F679" s="112" t="s">
        <v>2609</v>
      </c>
      <c r="H679" s="114" t="s">
        <v>2547</v>
      </c>
      <c r="I679" s="112">
        <f t="shared" si="160"/>
        <v>2</v>
      </c>
      <c r="J679" s="112">
        <f t="shared" si="161"/>
        <v>1</v>
      </c>
      <c r="K679" s="115" t="s">
        <v>2720</v>
      </c>
      <c r="L679" s="115" t="s">
        <v>3120</v>
      </c>
      <c r="M679" s="115" t="s">
        <v>3121</v>
      </c>
      <c r="N679" s="115">
        <v>38300</v>
      </c>
      <c r="O679" s="112">
        <v>2</v>
      </c>
      <c r="P679" s="116" t="s">
        <v>2626</v>
      </c>
      <c r="Q679" s="112" t="str">
        <f t="shared" si="162"/>
        <v/>
      </c>
      <c r="R679" s="112" t="str">
        <f t="shared" si="163"/>
        <v/>
      </c>
      <c r="S679" s="112" t="str">
        <f t="shared" si="166"/>
        <v/>
      </c>
      <c r="T679" s="112" t="str">
        <f t="shared" si="167"/>
        <v/>
      </c>
      <c r="U679" s="112" t="str">
        <f t="shared" si="168"/>
        <v/>
      </c>
      <c r="V679" s="112" t="str">
        <f t="shared" si="169"/>
        <v/>
      </c>
      <c r="W679" s="112" t="str">
        <f t="shared" si="170"/>
        <v/>
      </c>
      <c r="X679" s="112" t="str">
        <f t="shared" si="164"/>
        <v/>
      </c>
      <c r="Y679" s="112" t="str">
        <f t="shared" si="165"/>
        <v/>
      </c>
      <c r="Z679" s="112" t="str">
        <f t="shared" si="171"/>
        <v/>
      </c>
      <c r="AA679" s="112" t="str">
        <f t="shared" si="172"/>
        <v/>
      </c>
      <c r="AB679" s="112" t="str">
        <f t="shared" si="173"/>
        <v/>
      </c>
      <c r="AC679" s="112" t="str">
        <f t="shared" si="174"/>
        <v/>
      </c>
      <c r="AD679" s="112" t="str">
        <f t="shared" si="175"/>
        <v/>
      </c>
    </row>
    <row r="680" spans="1:30" x14ac:dyDescent="0.2">
      <c r="A680" s="112">
        <f>IF(SUM(Q680:R680)=1,1+MAX($A$1:A679),"")</f>
        <v>45</v>
      </c>
      <c r="B680" s="112">
        <f>IF(SUM(X680:Y680)=1,1+MAX($B$1:B679),"")</f>
        <v>68</v>
      </c>
      <c r="C680" s="112">
        <f>IF(SUM(Q680:R680,X680:Y680)=2,1+MAX($C$1:C679),"")</f>
        <v>4</v>
      </c>
      <c r="D680" s="113">
        <v>24311</v>
      </c>
      <c r="E680" s="112">
        <v>1966</v>
      </c>
      <c r="F680" s="112" t="s">
        <v>2618</v>
      </c>
      <c r="H680" s="114" t="s">
        <v>1134</v>
      </c>
      <c r="I680" s="112">
        <f t="shared" si="160"/>
        <v>0</v>
      </c>
      <c r="J680" s="112">
        <f t="shared" si="161"/>
        <v>1</v>
      </c>
      <c r="K680" s="115" t="s">
        <v>2545</v>
      </c>
      <c r="L680" s="115" t="s">
        <v>3117</v>
      </c>
      <c r="M680" s="115" t="s">
        <v>3122</v>
      </c>
      <c r="N680" s="115">
        <v>90000</v>
      </c>
      <c r="O680" s="112">
        <v>2</v>
      </c>
      <c r="P680" s="116" t="s">
        <v>2601</v>
      </c>
      <c r="Q680" s="112" t="str">
        <f t="shared" si="162"/>
        <v/>
      </c>
      <c r="R680" s="112">
        <f t="shared" si="163"/>
        <v>1</v>
      </c>
      <c r="S680" s="112">
        <f t="shared" si="166"/>
        <v>1</v>
      </c>
      <c r="T680" s="112">
        <f t="shared" si="167"/>
        <v>0</v>
      </c>
      <c r="U680" s="112">
        <f t="shared" si="168"/>
        <v>0</v>
      </c>
      <c r="V680" s="112">
        <f t="shared" si="169"/>
        <v>1</v>
      </c>
      <c r="W680" s="112">
        <f t="shared" si="170"/>
        <v>1</v>
      </c>
      <c r="X680" s="112">
        <f t="shared" si="164"/>
        <v>1</v>
      </c>
      <c r="Y680" s="112" t="str">
        <f t="shared" si="165"/>
        <v/>
      </c>
      <c r="Z680" s="112">
        <f t="shared" si="171"/>
        <v>0</v>
      </c>
      <c r="AA680" s="112">
        <f t="shared" si="172"/>
        <v>0</v>
      </c>
      <c r="AB680" s="112">
        <f t="shared" si="173"/>
        <v>1</v>
      </c>
      <c r="AC680" s="112">
        <f t="shared" si="174"/>
        <v>1</v>
      </c>
      <c r="AD680" s="112">
        <f t="shared" si="175"/>
        <v>-1</v>
      </c>
    </row>
    <row r="681" spans="1:30" x14ac:dyDescent="0.2">
      <c r="A681" s="112" t="str">
        <f>IF(SUM(Q681:R681)=1,1+MAX($A$1:A680),"")</f>
        <v/>
      </c>
      <c r="B681" s="112" t="str">
        <f>IF(SUM(X681:Y681)=1,1+MAX($B$1:B680),"")</f>
        <v/>
      </c>
      <c r="C681" s="112" t="str">
        <f>IF(SUM(Q681:R681,X681:Y681)=2,1+MAX($C$1:C680),"")</f>
        <v/>
      </c>
      <c r="D681" s="113">
        <v>24311</v>
      </c>
      <c r="E681" s="112">
        <v>1966</v>
      </c>
      <c r="F681" s="112" t="s">
        <v>2618</v>
      </c>
      <c r="H681" s="114" t="s">
        <v>2547</v>
      </c>
      <c r="I681" s="112">
        <f t="shared" si="160"/>
        <v>4</v>
      </c>
      <c r="J681" s="112">
        <f t="shared" si="161"/>
        <v>0</v>
      </c>
      <c r="K681" s="115" t="s">
        <v>2540</v>
      </c>
      <c r="L681" s="115" t="s">
        <v>3123</v>
      </c>
      <c r="M681" s="115" t="s">
        <v>3124</v>
      </c>
      <c r="N681" s="115">
        <v>34000</v>
      </c>
      <c r="O681" s="112">
        <v>3</v>
      </c>
      <c r="P681" s="116" t="s">
        <v>2710</v>
      </c>
      <c r="Q681" s="112" t="str">
        <f t="shared" si="162"/>
        <v/>
      </c>
      <c r="R681" s="112" t="str">
        <f t="shared" si="163"/>
        <v/>
      </c>
      <c r="S681" s="112" t="str">
        <f t="shared" si="166"/>
        <v/>
      </c>
      <c r="T681" s="112" t="str">
        <f t="shared" si="167"/>
        <v/>
      </c>
      <c r="U681" s="112" t="str">
        <f t="shared" si="168"/>
        <v/>
      </c>
      <c r="V681" s="112" t="str">
        <f t="shared" si="169"/>
        <v/>
      </c>
      <c r="W681" s="112" t="str">
        <f t="shared" si="170"/>
        <v/>
      </c>
      <c r="X681" s="112" t="str">
        <f t="shared" si="164"/>
        <v/>
      </c>
      <c r="Y681" s="112" t="str">
        <f t="shared" si="165"/>
        <v/>
      </c>
      <c r="Z681" s="112" t="str">
        <f t="shared" si="171"/>
        <v/>
      </c>
      <c r="AA681" s="112" t="str">
        <f t="shared" si="172"/>
        <v/>
      </c>
      <c r="AB681" s="112" t="str">
        <f t="shared" si="173"/>
        <v/>
      </c>
      <c r="AC681" s="112" t="str">
        <f t="shared" si="174"/>
        <v/>
      </c>
      <c r="AD681" s="112" t="str">
        <f t="shared" si="175"/>
        <v/>
      </c>
    </row>
    <row r="682" spans="1:30" x14ac:dyDescent="0.2">
      <c r="A682" s="112" t="str">
        <f>IF(SUM(Q682:R682)=1,1+MAX($A$1:A681),"")</f>
        <v/>
      </c>
      <c r="B682" s="112" t="str">
        <f>IF(SUM(X682:Y682)=1,1+MAX($B$1:B681),"")</f>
        <v/>
      </c>
      <c r="C682" s="112" t="str">
        <f>IF(SUM(Q682:R682,X682:Y682)=2,1+MAX($C$1:C681),"")</f>
        <v/>
      </c>
      <c r="D682" s="113">
        <v>24311</v>
      </c>
      <c r="E682" s="112">
        <v>1966</v>
      </c>
      <c r="F682" s="112" t="s">
        <v>2618</v>
      </c>
      <c r="H682" s="114" t="s">
        <v>2716</v>
      </c>
      <c r="I682" s="112">
        <f t="shared" si="160"/>
        <v>3</v>
      </c>
      <c r="J682" s="112">
        <f t="shared" si="161"/>
        <v>5</v>
      </c>
      <c r="K682" s="115" t="s">
        <v>2556</v>
      </c>
      <c r="L682" s="115" t="s">
        <v>3120</v>
      </c>
      <c r="M682" s="115" t="s">
        <v>3125</v>
      </c>
      <c r="N682" s="115">
        <v>51780</v>
      </c>
      <c r="O682" s="112">
        <v>2</v>
      </c>
      <c r="P682" s="116" t="s">
        <v>3126</v>
      </c>
      <c r="Q682" s="112" t="str">
        <f t="shared" si="162"/>
        <v/>
      </c>
      <c r="R682" s="112" t="str">
        <f t="shared" si="163"/>
        <v/>
      </c>
      <c r="S682" s="112" t="str">
        <f t="shared" si="166"/>
        <v/>
      </c>
      <c r="T682" s="112" t="str">
        <f t="shared" si="167"/>
        <v/>
      </c>
      <c r="U682" s="112" t="str">
        <f t="shared" si="168"/>
        <v/>
      </c>
      <c r="V682" s="112" t="str">
        <f t="shared" si="169"/>
        <v/>
      </c>
      <c r="W682" s="112" t="str">
        <f t="shared" si="170"/>
        <v/>
      </c>
      <c r="X682" s="112" t="str">
        <f t="shared" si="164"/>
        <v/>
      </c>
      <c r="Y682" s="112" t="str">
        <f t="shared" si="165"/>
        <v/>
      </c>
      <c r="Z682" s="112" t="str">
        <f t="shared" si="171"/>
        <v/>
      </c>
      <c r="AA682" s="112" t="str">
        <f t="shared" si="172"/>
        <v/>
      </c>
      <c r="AB682" s="112" t="str">
        <f t="shared" si="173"/>
        <v/>
      </c>
      <c r="AC682" s="112" t="str">
        <f t="shared" si="174"/>
        <v/>
      </c>
      <c r="AD682" s="112" t="str">
        <f t="shared" si="175"/>
        <v/>
      </c>
    </row>
    <row r="683" spans="1:30" x14ac:dyDescent="0.2">
      <c r="A683" s="112" t="str">
        <f>IF(SUM(Q683:R683)=1,1+MAX($A$1:A682),"")</f>
        <v/>
      </c>
      <c r="B683" s="112" t="str">
        <f>IF(SUM(X683:Y683)=1,1+MAX($B$1:B682),"")</f>
        <v/>
      </c>
      <c r="C683" s="112" t="str">
        <f>IF(SUM(Q683:R683,X683:Y683)=2,1+MAX($C$1:C682),"")</f>
        <v/>
      </c>
      <c r="D683" s="113">
        <v>24311</v>
      </c>
      <c r="E683" s="112">
        <v>1966</v>
      </c>
      <c r="F683" s="112" t="s">
        <v>2618</v>
      </c>
      <c r="H683" s="114" t="s">
        <v>2725</v>
      </c>
      <c r="I683" s="112">
        <f t="shared" si="160"/>
        <v>1</v>
      </c>
      <c r="J683" s="112">
        <f t="shared" si="161"/>
        <v>2</v>
      </c>
      <c r="K683" s="115" t="s">
        <v>2720</v>
      </c>
      <c r="L683" s="115" t="s">
        <v>3127</v>
      </c>
      <c r="M683" s="115" t="s">
        <v>3128</v>
      </c>
      <c r="N683" s="115">
        <v>26844</v>
      </c>
      <c r="O683" s="112">
        <v>2</v>
      </c>
      <c r="P683" s="116" t="s">
        <v>2638</v>
      </c>
      <c r="Q683" s="112" t="str">
        <f t="shared" si="162"/>
        <v/>
      </c>
      <c r="R683" s="112" t="str">
        <f t="shared" si="163"/>
        <v/>
      </c>
      <c r="S683" s="112" t="str">
        <f t="shared" si="166"/>
        <v/>
      </c>
      <c r="T683" s="112" t="str">
        <f t="shared" si="167"/>
        <v/>
      </c>
      <c r="U683" s="112" t="str">
        <f t="shared" si="168"/>
        <v/>
      </c>
      <c r="V683" s="112" t="str">
        <f t="shared" si="169"/>
        <v/>
      </c>
      <c r="W683" s="112" t="str">
        <f t="shared" si="170"/>
        <v/>
      </c>
      <c r="X683" s="112" t="str">
        <f t="shared" si="164"/>
        <v/>
      </c>
      <c r="Y683" s="112" t="str">
        <f t="shared" si="165"/>
        <v/>
      </c>
      <c r="Z683" s="112" t="str">
        <f t="shared" si="171"/>
        <v/>
      </c>
      <c r="AA683" s="112" t="str">
        <f t="shared" si="172"/>
        <v/>
      </c>
      <c r="AB683" s="112" t="str">
        <f t="shared" si="173"/>
        <v/>
      </c>
      <c r="AC683" s="112" t="str">
        <f t="shared" si="174"/>
        <v/>
      </c>
      <c r="AD683" s="112" t="str">
        <f t="shared" si="175"/>
        <v/>
      </c>
    </row>
    <row r="684" spans="1:30" x14ac:dyDescent="0.2">
      <c r="A684" s="112" t="str">
        <f>IF(SUM(Q684:R684)=1,1+MAX($A$1:A683),"")</f>
        <v/>
      </c>
      <c r="B684" s="112" t="str">
        <f>IF(SUM(X684:Y684)=1,1+MAX($B$1:B683),"")</f>
        <v/>
      </c>
      <c r="C684" s="112" t="str">
        <f>IF(SUM(Q684:R684,X684:Y684)=2,1+MAX($C$1:C683),"")</f>
        <v/>
      </c>
      <c r="D684" s="113">
        <v>24308</v>
      </c>
      <c r="E684" s="112">
        <v>1966</v>
      </c>
      <c r="F684" s="112" t="s">
        <v>3020</v>
      </c>
      <c r="G684" s="112">
        <v>4</v>
      </c>
      <c r="H684" s="114" t="s">
        <v>2650</v>
      </c>
      <c r="I684" s="112">
        <f t="shared" si="160"/>
        <v>1</v>
      </c>
      <c r="J684" s="112">
        <f t="shared" si="161"/>
        <v>2</v>
      </c>
      <c r="K684" s="115" t="s">
        <v>2720</v>
      </c>
      <c r="L684" s="115" t="s">
        <v>3127</v>
      </c>
      <c r="M684" s="115" t="s">
        <v>3129</v>
      </c>
      <c r="N684" s="115">
        <v>22000</v>
      </c>
      <c r="O684" s="112">
        <v>2</v>
      </c>
      <c r="P684" s="116" t="s">
        <v>2638</v>
      </c>
      <c r="Q684" s="112" t="str">
        <f t="shared" si="162"/>
        <v/>
      </c>
      <c r="R684" s="112" t="str">
        <f t="shared" si="163"/>
        <v/>
      </c>
      <c r="S684" s="112" t="str">
        <f t="shared" si="166"/>
        <v/>
      </c>
      <c r="T684" s="112" t="str">
        <f t="shared" si="167"/>
        <v/>
      </c>
      <c r="U684" s="112" t="str">
        <f t="shared" si="168"/>
        <v/>
      </c>
      <c r="V684" s="112" t="str">
        <f t="shared" si="169"/>
        <v/>
      </c>
      <c r="W684" s="112" t="str">
        <f t="shared" si="170"/>
        <v/>
      </c>
      <c r="X684" s="112" t="str">
        <f t="shared" si="164"/>
        <v/>
      </c>
      <c r="Y684" s="112" t="str">
        <f t="shared" si="165"/>
        <v/>
      </c>
      <c r="Z684" s="112" t="str">
        <f t="shared" si="171"/>
        <v/>
      </c>
      <c r="AA684" s="112" t="str">
        <f t="shared" si="172"/>
        <v/>
      </c>
      <c r="AB684" s="112" t="str">
        <f t="shared" si="173"/>
        <v/>
      </c>
      <c r="AC684" s="112" t="str">
        <f t="shared" si="174"/>
        <v/>
      </c>
      <c r="AD684" s="112" t="str">
        <f t="shared" si="175"/>
        <v/>
      </c>
    </row>
    <row r="685" spans="1:30" x14ac:dyDescent="0.2">
      <c r="A685" s="112">
        <f>IF(SUM(Q685:R685)=1,1+MAX($A$1:A684),"")</f>
        <v>46</v>
      </c>
      <c r="B685" s="112" t="str">
        <f>IF(SUM(X685:Y685)=1,1+MAX($B$1:B684),"")</f>
        <v/>
      </c>
      <c r="C685" s="112" t="str">
        <f>IF(SUM(Q685:R685,X685:Y685)=2,1+MAX($C$1:C684),"")</f>
        <v/>
      </c>
      <c r="D685" s="113">
        <v>24308</v>
      </c>
      <c r="E685" s="112">
        <v>1966</v>
      </c>
      <c r="F685" s="112" t="s">
        <v>3035</v>
      </c>
      <c r="G685" s="112">
        <v>1</v>
      </c>
      <c r="H685" s="114" t="s">
        <v>2545</v>
      </c>
      <c r="I685" s="112">
        <f t="shared" si="160"/>
        <v>2</v>
      </c>
      <c r="J685" s="112">
        <f t="shared" si="161"/>
        <v>0</v>
      </c>
      <c r="K685" s="115" t="s">
        <v>2541</v>
      </c>
      <c r="L685" s="115" t="s">
        <v>3117</v>
      </c>
      <c r="M685" s="115" t="s">
        <v>3130</v>
      </c>
      <c r="N685" s="115">
        <v>98270</v>
      </c>
      <c r="O685" s="112">
        <v>2</v>
      </c>
      <c r="P685" s="116" t="s">
        <v>2641</v>
      </c>
      <c r="Q685" s="112">
        <f t="shared" si="162"/>
        <v>1</v>
      </c>
      <c r="R685" s="112" t="str">
        <f t="shared" si="163"/>
        <v/>
      </c>
      <c r="S685" s="112">
        <f t="shared" si="166"/>
        <v>1</v>
      </c>
      <c r="T685" s="112">
        <f t="shared" si="167"/>
        <v>0</v>
      </c>
      <c r="U685" s="112">
        <f t="shared" si="168"/>
        <v>0</v>
      </c>
      <c r="V685" s="112">
        <f t="shared" si="169"/>
        <v>2</v>
      </c>
      <c r="W685" s="112">
        <f t="shared" si="170"/>
        <v>2</v>
      </c>
      <c r="X685" s="112" t="str">
        <f t="shared" si="164"/>
        <v/>
      </c>
      <c r="Y685" s="112" t="str">
        <f t="shared" si="165"/>
        <v/>
      </c>
      <c r="Z685" s="112" t="str">
        <f t="shared" si="171"/>
        <v/>
      </c>
      <c r="AA685" s="112" t="str">
        <f t="shared" si="172"/>
        <v/>
      </c>
      <c r="AB685" s="112" t="str">
        <f t="shared" si="173"/>
        <v/>
      </c>
      <c r="AC685" s="112" t="str">
        <f t="shared" si="174"/>
        <v/>
      </c>
      <c r="AD685" s="112" t="str">
        <f t="shared" si="175"/>
        <v/>
      </c>
    </row>
    <row r="686" spans="1:30" x14ac:dyDescent="0.2">
      <c r="A686" s="112" t="str">
        <f>IF(SUM(Q686:R686)=1,1+MAX($A$1:A685),"")</f>
        <v/>
      </c>
      <c r="B686" s="112" t="str">
        <f>IF(SUM(X686:Y686)=1,1+MAX($B$1:B685),"")</f>
        <v/>
      </c>
      <c r="C686" s="112" t="str">
        <f>IF(SUM(Q686:R686,X686:Y686)=2,1+MAX($C$1:C685),"")</f>
        <v/>
      </c>
      <c r="D686" s="113">
        <v>24308</v>
      </c>
      <c r="E686" s="112">
        <v>1966</v>
      </c>
      <c r="F686" s="112" t="s">
        <v>3033</v>
      </c>
      <c r="G686" s="112">
        <v>3</v>
      </c>
      <c r="H686" s="114" t="s">
        <v>2631</v>
      </c>
      <c r="I686" s="112">
        <f t="shared" si="160"/>
        <v>1</v>
      </c>
      <c r="J686" s="112">
        <f t="shared" si="161"/>
        <v>3</v>
      </c>
      <c r="K686" s="115" t="s">
        <v>2725</v>
      </c>
      <c r="L686" s="115" t="s">
        <v>3131</v>
      </c>
      <c r="M686" s="115" t="s">
        <v>3132</v>
      </c>
      <c r="N686" s="115">
        <v>22000</v>
      </c>
      <c r="O686" s="112">
        <v>2</v>
      </c>
      <c r="P686" s="116" t="s">
        <v>2691</v>
      </c>
      <c r="Q686" s="112" t="str">
        <f t="shared" si="162"/>
        <v/>
      </c>
      <c r="R686" s="112" t="str">
        <f t="shared" si="163"/>
        <v/>
      </c>
      <c r="S686" s="112" t="str">
        <f t="shared" si="166"/>
        <v/>
      </c>
      <c r="T686" s="112" t="str">
        <f t="shared" si="167"/>
        <v/>
      </c>
      <c r="U686" s="112" t="str">
        <f t="shared" si="168"/>
        <v/>
      </c>
      <c r="V686" s="112" t="str">
        <f t="shared" si="169"/>
        <v/>
      </c>
      <c r="W686" s="112" t="str">
        <f t="shared" si="170"/>
        <v/>
      </c>
      <c r="X686" s="112" t="str">
        <f t="shared" si="164"/>
        <v/>
      </c>
      <c r="Y686" s="112" t="str">
        <f t="shared" si="165"/>
        <v/>
      </c>
      <c r="Z686" s="112" t="str">
        <f t="shared" si="171"/>
        <v/>
      </c>
      <c r="AA686" s="112" t="str">
        <f t="shared" si="172"/>
        <v/>
      </c>
      <c r="AB686" s="112" t="str">
        <f t="shared" si="173"/>
        <v/>
      </c>
      <c r="AC686" s="112" t="str">
        <f t="shared" si="174"/>
        <v/>
      </c>
      <c r="AD686" s="112" t="str">
        <f t="shared" si="175"/>
        <v/>
      </c>
    </row>
    <row r="687" spans="1:30" x14ac:dyDescent="0.2">
      <c r="A687" s="112" t="str">
        <f>IF(SUM(Q687:R687)=1,1+MAX($A$1:A686),"")</f>
        <v/>
      </c>
      <c r="B687" s="112" t="str">
        <f>IF(SUM(X687:Y687)=1,1+MAX($B$1:B686),"")</f>
        <v/>
      </c>
      <c r="C687" s="112" t="str">
        <f>IF(SUM(Q687:R687,X687:Y687)=2,1+MAX($C$1:C686),"")</f>
        <v/>
      </c>
      <c r="D687" s="113">
        <v>24308</v>
      </c>
      <c r="E687" s="112">
        <v>1966</v>
      </c>
      <c r="F687" s="112" t="s">
        <v>3024</v>
      </c>
      <c r="G687" s="112">
        <v>2</v>
      </c>
      <c r="H687" s="114" t="s">
        <v>2547</v>
      </c>
      <c r="I687" s="112">
        <f t="shared" si="160"/>
        <v>2</v>
      </c>
      <c r="J687" s="112">
        <f t="shared" si="161"/>
        <v>1</v>
      </c>
      <c r="K687" s="115" t="s">
        <v>2557</v>
      </c>
      <c r="L687" s="115" t="s">
        <v>3133</v>
      </c>
      <c r="M687" s="115" t="s">
        <v>3095</v>
      </c>
      <c r="N687" s="115">
        <v>51000</v>
      </c>
      <c r="O687" s="112">
        <v>2</v>
      </c>
      <c r="P687" s="116" t="s">
        <v>2626</v>
      </c>
      <c r="Q687" s="112" t="str">
        <f t="shared" si="162"/>
        <v/>
      </c>
      <c r="R687" s="112" t="str">
        <f t="shared" si="163"/>
        <v/>
      </c>
      <c r="S687" s="112" t="str">
        <f t="shared" si="166"/>
        <v/>
      </c>
      <c r="T687" s="112" t="str">
        <f t="shared" si="167"/>
        <v/>
      </c>
      <c r="U687" s="112" t="str">
        <f t="shared" si="168"/>
        <v/>
      </c>
      <c r="V687" s="112" t="str">
        <f t="shared" si="169"/>
        <v/>
      </c>
      <c r="W687" s="112" t="str">
        <f t="shared" si="170"/>
        <v/>
      </c>
      <c r="X687" s="112" t="str">
        <f t="shared" si="164"/>
        <v/>
      </c>
      <c r="Y687" s="112" t="str">
        <f t="shared" si="165"/>
        <v/>
      </c>
      <c r="Z687" s="112" t="str">
        <f t="shared" si="171"/>
        <v/>
      </c>
      <c r="AA687" s="112" t="str">
        <f t="shared" si="172"/>
        <v/>
      </c>
      <c r="AB687" s="112" t="str">
        <f t="shared" si="173"/>
        <v/>
      </c>
      <c r="AC687" s="112" t="str">
        <f t="shared" si="174"/>
        <v/>
      </c>
      <c r="AD687" s="112" t="str">
        <f t="shared" si="175"/>
        <v/>
      </c>
    </row>
    <row r="688" spans="1:30" x14ac:dyDescent="0.2">
      <c r="A688" s="112" t="str">
        <f>IF(SUM(Q688:R688)=1,1+MAX($A$1:A687),"")</f>
        <v/>
      </c>
      <c r="B688" s="112" t="str">
        <f>IF(SUM(X688:Y688)=1,1+MAX($B$1:B687),"")</f>
        <v/>
      </c>
      <c r="C688" s="112" t="str">
        <f>IF(SUM(Q688:R688,X688:Y688)=2,1+MAX($C$1:C687),"")</f>
        <v/>
      </c>
      <c r="D688" s="113">
        <v>24307</v>
      </c>
      <c r="E688" s="112">
        <v>1966</v>
      </c>
      <c r="F688" s="112" t="s">
        <v>3020</v>
      </c>
      <c r="G688" s="112">
        <v>4</v>
      </c>
      <c r="H688" s="114" t="s">
        <v>2674</v>
      </c>
      <c r="I688" s="112">
        <f t="shared" si="160"/>
        <v>0</v>
      </c>
      <c r="J688" s="112">
        <f t="shared" si="161"/>
        <v>1</v>
      </c>
      <c r="K688" s="115" t="s">
        <v>2716</v>
      </c>
      <c r="L688" s="115" t="s">
        <v>3134</v>
      </c>
      <c r="M688" s="115" t="s">
        <v>3119</v>
      </c>
      <c r="N688" s="115">
        <v>18000</v>
      </c>
      <c r="O688" s="112">
        <v>2</v>
      </c>
      <c r="P688" s="116" t="s">
        <v>2601</v>
      </c>
      <c r="Q688" s="112" t="str">
        <f t="shared" si="162"/>
        <v/>
      </c>
      <c r="R688" s="112" t="str">
        <f t="shared" si="163"/>
        <v/>
      </c>
      <c r="S688" s="112" t="str">
        <f t="shared" si="166"/>
        <v/>
      </c>
      <c r="T688" s="112" t="str">
        <f t="shared" si="167"/>
        <v/>
      </c>
      <c r="U688" s="112" t="str">
        <f t="shared" si="168"/>
        <v/>
      </c>
      <c r="V688" s="112" t="str">
        <f t="shared" si="169"/>
        <v/>
      </c>
      <c r="W688" s="112" t="str">
        <f t="shared" si="170"/>
        <v/>
      </c>
      <c r="X688" s="112" t="str">
        <f t="shared" si="164"/>
        <v/>
      </c>
      <c r="Y688" s="112" t="str">
        <f t="shared" si="165"/>
        <v/>
      </c>
      <c r="Z688" s="112" t="str">
        <f t="shared" si="171"/>
        <v/>
      </c>
      <c r="AA688" s="112" t="str">
        <f t="shared" si="172"/>
        <v/>
      </c>
      <c r="AB688" s="112" t="str">
        <f t="shared" si="173"/>
        <v/>
      </c>
      <c r="AC688" s="112" t="str">
        <f t="shared" si="174"/>
        <v/>
      </c>
      <c r="AD688" s="112" t="str">
        <f t="shared" si="175"/>
        <v/>
      </c>
    </row>
    <row r="689" spans="1:30" x14ac:dyDescent="0.2">
      <c r="A689" s="112" t="str">
        <f>IF(SUM(Q689:R689)=1,1+MAX($A$1:A688),"")</f>
        <v/>
      </c>
      <c r="B689" s="112" t="str">
        <f>IF(SUM(X689:Y689)=1,1+MAX($B$1:B688),"")</f>
        <v/>
      </c>
      <c r="C689" s="112" t="str">
        <f>IF(SUM(Q689:R689,X689:Y689)=2,1+MAX($C$1:C688),"")</f>
        <v/>
      </c>
      <c r="D689" s="113">
        <v>24307</v>
      </c>
      <c r="E689" s="112">
        <v>1966</v>
      </c>
      <c r="F689" s="112" t="s">
        <v>3033</v>
      </c>
      <c r="G689" s="112">
        <v>3</v>
      </c>
      <c r="H689" s="114" t="s">
        <v>1442</v>
      </c>
      <c r="I689" s="112">
        <f t="shared" si="160"/>
        <v>1</v>
      </c>
      <c r="J689" s="112">
        <f t="shared" si="161"/>
        <v>3</v>
      </c>
      <c r="K689" s="115" t="s">
        <v>2556</v>
      </c>
      <c r="L689" s="115" t="s">
        <v>3120</v>
      </c>
      <c r="M689" s="115" t="s">
        <v>3135</v>
      </c>
      <c r="N689" s="115">
        <v>62000</v>
      </c>
      <c r="O689" s="112">
        <v>2</v>
      </c>
      <c r="P689" s="116" t="s">
        <v>2691</v>
      </c>
      <c r="Q689" s="112" t="str">
        <f t="shared" si="162"/>
        <v/>
      </c>
      <c r="R689" s="112" t="str">
        <f t="shared" si="163"/>
        <v/>
      </c>
      <c r="S689" s="112" t="str">
        <f t="shared" si="166"/>
        <v/>
      </c>
      <c r="T689" s="112" t="str">
        <f t="shared" si="167"/>
        <v/>
      </c>
      <c r="U689" s="112" t="str">
        <f t="shared" si="168"/>
        <v/>
      </c>
      <c r="V689" s="112" t="str">
        <f t="shared" si="169"/>
        <v/>
      </c>
      <c r="W689" s="112" t="str">
        <f t="shared" si="170"/>
        <v/>
      </c>
      <c r="X689" s="112" t="str">
        <f t="shared" si="164"/>
        <v/>
      </c>
      <c r="Y689" s="112" t="str">
        <f t="shared" si="165"/>
        <v/>
      </c>
      <c r="Z689" s="112" t="str">
        <f t="shared" si="171"/>
        <v/>
      </c>
      <c r="AA689" s="112" t="str">
        <f t="shared" si="172"/>
        <v/>
      </c>
      <c r="AB689" s="112" t="str">
        <f t="shared" si="173"/>
        <v/>
      </c>
      <c r="AC689" s="112" t="str">
        <f t="shared" si="174"/>
        <v/>
      </c>
      <c r="AD689" s="112" t="str">
        <f t="shared" si="175"/>
        <v/>
      </c>
    </row>
    <row r="690" spans="1:30" x14ac:dyDescent="0.2">
      <c r="A690" s="112" t="str">
        <f>IF(SUM(Q690:R690)=1,1+MAX($A$1:A689),"")</f>
        <v/>
      </c>
      <c r="B690" s="112">
        <f>IF(SUM(X690:Y690)=1,1+MAX($B$1:B689),"")</f>
        <v>69</v>
      </c>
      <c r="C690" s="112" t="str">
        <f>IF(SUM(Q690:R690,X690:Y690)=2,1+MAX($C$1:C689),"")</f>
        <v/>
      </c>
      <c r="D690" s="113">
        <v>24307</v>
      </c>
      <c r="E690" s="112">
        <v>1966</v>
      </c>
      <c r="F690" s="112" t="s">
        <v>3024</v>
      </c>
      <c r="G690" s="112">
        <v>2</v>
      </c>
      <c r="H690" s="114" t="s">
        <v>1134</v>
      </c>
      <c r="I690" s="112">
        <f t="shared" si="160"/>
        <v>2</v>
      </c>
      <c r="J690" s="112">
        <f t="shared" si="161"/>
        <v>0</v>
      </c>
      <c r="K690" s="115" t="s">
        <v>2558</v>
      </c>
      <c r="L690" s="115" t="s">
        <v>3123</v>
      </c>
      <c r="M690" s="115" t="s">
        <v>3136</v>
      </c>
      <c r="N690" s="115">
        <v>32000</v>
      </c>
      <c r="O690" s="112">
        <v>2</v>
      </c>
      <c r="P690" s="116" t="s">
        <v>2641</v>
      </c>
      <c r="Q690" s="112" t="str">
        <f t="shared" si="162"/>
        <v/>
      </c>
      <c r="R690" s="112" t="str">
        <f t="shared" si="163"/>
        <v/>
      </c>
      <c r="S690" s="112" t="str">
        <f t="shared" si="166"/>
        <v/>
      </c>
      <c r="T690" s="112" t="str">
        <f t="shared" si="167"/>
        <v/>
      </c>
      <c r="U690" s="112" t="str">
        <f t="shared" si="168"/>
        <v/>
      </c>
      <c r="V690" s="112" t="str">
        <f t="shared" si="169"/>
        <v/>
      </c>
      <c r="W690" s="112" t="str">
        <f t="shared" si="170"/>
        <v/>
      </c>
      <c r="X690" s="112">
        <f t="shared" si="164"/>
        <v>1</v>
      </c>
      <c r="Y690" s="112" t="str">
        <f t="shared" si="165"/>
        <v/>
      </c>
      <c r="Z690" s="112">
        <f t="shared" si="171"/>
        <v>1</v>
      </c>
      <c r="AA690" s="112">
        <f t="shared" si="172"/>
        <v>0</v>
      </c>
      <c r="AB690" s="112">
        <f t="shared" si="173"/>
        <v>0</v>
      </c>
      <c r="AC690" s="112">
        <f t="shared" si="174"/>
        <v>2</v>
      </c>
      <c r="AD690" s="112">
        <f t="shared" si="175"/>
        <v>2</v>
      </c>
    </row>
    <row r="691" spans="1:30" x14ac:dyDescent="0.2">
      <c r="A691" s="112" t="str">
        <f>IF(SUM(Q691:R691)=1,1+MAX($A$1:A690),"")</f>
        <v/>
      </c>
      <c r="B691" s="112" t="str">
        <f>IF(SUM(X691:Y691)=1,1+MAX($B$1:B690),"")</f>
        <v/>
      </c>
      <c r="C691" s="112" t="str">
        <f>IF(SUM(Q691:R691,X691:Y691)=2,1+MAX($C$1:C690),"")</f>
        <v/>
      </c>
      <c r="D691" s="113">
        <v>24307</v>
      </c>
      <c r="E691" s="112">
        <v>1966</v>
      </c>
      <c r="F691" s="112" t="s">
        <v>3035</v>
      </c>
      <c r="G691" s="112">
        <v>1</v>
      </c>
      <c r="H691" s="114" t="s">
        <v>1061</v>
      </c>
      <c r="I691" s="112">
        <f t="shared" si="160"/>
        <v>0</v>
      </c>
      <c r="J691" s="112">
        <f t="shared" si="161"/>
        <v>0</v>
      </c>
      <c r="K691" s="115" t="s">
        <v>2540</v>
      </c>
      <c r="L691" s="115" t="s">
        <v>3117</v>
      </c>
      <c r="M691" s="115" t="s">
        <v>3137</v>
      </c>
      <c r="N691" s="115">
        <v>61112</v>
      </c>
      <c r="O691" s="112">
        <v>3</v>
      </c>
      <c r="P691" s="116" t="s">
        <v>2613</v>
      </c>
      <c r="Q691" s="112" t="str">
        <f t="shared" si="162"/>
        <v/>
      </c>
      <c r="R691" s="112" t="str">
        <f t="shared" si="163"/>
        <v/>
      </c>
      <c r="S691" s="112" t="str">
        <f t="shared" si="166"/>
        <v/>
      </c>
      <c r="T691" s="112" t="str">
        <f t="shared" si="167"/>
        <v/>
      </c>
      <c r="U691" s="112" t="str">
        <f t="shared" si="168"/>
        <v/>
      </c>
      <c r="V691" s="112" t="str">
        <f t="shared" si="169"/>
        <v/>
      </c>
      <c r="W691" s="112" t="str">
        <f t="shared" si="170"/>
        <v/>
      </c>
      <c r="X691" s="112" t="str">
        <f t="shared" si="164"/>
        <v/>
      </c>
      <c r="Y691" s="112" t="str">
        <f t="shared" si="165"/>
        <v/>
      </c>
      <c r="Z691" s="112" t="str">
        <f t="shared" si="171"/>
        <v/>
      </c>
      <c r="AA691" s="112" t="str">
        <f t="shared" si="172"/>
        <v/>
      </c>
      <c r="AB691" s="112" t="str">
        <f t="shared" si="173"/>
        <v/>
      </c>
      <c r="AC691" s="112" t="str">
        <f t="shared" si="174"/>
        <v/>
      </c>
      <c r="AD691" s="112" t="str">
        <f t="shared" si="175"/>
        <v/>
      </c>
    </row>
    <row r="692" spans="1:30" x14ac:dyDescent="0.2">
      <c r="A692" s="112" t="str">
        <f>IF(SUM(Q692:R692)=1,1+MAX($A$1:A691),"")</f>
        <v/>
      </c>
      <c r="B692" s="112" t="str">
        <f>IF(SUM(X692:Y692)=1,1+MAX($B$1:B691),"")</f>
        <v/>
      </c>
      <c r="C692" s="112" t="str">
        <f>IF(SUM(Q692:R692,X692:Y692)=2,1+MAX($C$1:C691),"")</f>
        <v/>
      </c>
      <c r="D692" s="113">
        <v>24304</v>
      </c>
      <c r="E692" s="112">
        <v>1966</v>
      </c>
      <c r="F692" s="112" t="s">
        <v>3020</v>
      </c>
      <c r="G692" s="112">
        <v>4</v>
      </c>
      <c r="H692" s="114" t="s">
        <v>2674</v>
      </c>
      <c r="I692" s="112">
        <f t="shared" si="160"/>
        <v>0</v>
      </c>
      <c r="J692" s="112">
        <f t="shared" si="161"/>
        <v>1</v>
      </c>
      <c r="K692" s="115" t="s">
        <v>2720</v>
      </c>
      <c r="L692" s="115" t="s">
        <v>3127</v>
      </c>
      <c r="M692" s="115" t="s">
        <v>3122</v>
      </c>
      <c r="N692" s="115">
        <v>27800</v>
      </c>
      <c r="O692" s="112">
        <v>2</v>
      </c>
      <c r="P692" s="116" t="s">
        <v>2601</v>
      </c>
      <c r="Q692" s="112" t="str">
        <f t="shared" si="162"/>
        <v/>
      </c>
      <c r="R692" s="112" t="str">
        <f t="shared" si="163"/>
        <v/>
      </c>
      <c r="S692" s="112" t="str">
        <f t="shared" si="166"/>
        <v/>
      </c>
      <c r="T692" s="112" t="str">
        <f t="shared" si="167"/>
        <v/>
      </c>
      <c r="U692" s="112" t="str">
        <f t="shared" si="168"/>
        <v/>
      </c>
      <c r="V692" s="112" t="str">
        <f t="shared" si="169"/>
        <v/>
      </c>
      <c r="W692" s="112" t="str">
        <f t="shared" si="170"/>
        <v/>
      </c>
      <c r="X692" s="112" t="str">
        <f t="shared" si="164"/>
        <v/>
      </c>
      <c r="Y692" s="112" t="str">
        <f t="shared" si="165"/>
        <v/>
      </c>
      <c r="Z692" s="112" t="str">
        <f t="shared" si="171"/>
        <v/>
      </c>
      <c r="AA692" s="112" t="str">
        <f t="shared" si="172"/>
        <v/>
      </c>
      <c r="AB692" s="112" t="str">
        <f t="shared" si="173"/>
        <v/>
      </c>
      <c r="AC692" s="112" t="str">
        <f t="shared" si="174"/>
        <v/>
      </c>
      <c r="AD692" s="112" t="str">
        <f t="shared" si="175"/>
        <v/>
      </c>
    </row>
    <row r="693" spans="1:30" x14ac:dyDescent="0.2">
      <c r="A693" s="112" t="str">
        <f>IF(SUM(Q693:R693)=1,1+MAX($A$1:A692),"")</f>
        <v/>
      </c>
      <c r="B693" s="112" t="str">
        <f>IF(SUM(X693:Y693)=1,1+MAX($B$1:B692),"")</f>
        <v/>
      </c>
      <c r="C693" s="112" t="str">
        <f>IF(SUM(Q693:R693,X693:Y693)=2,1+MAX($C$1:C692),"")</f>
        <v/>
      </c>
      <c r="D693" s="113">
        <v>24304</v>
      </c>
      <c r="E693" s="112">
        <v>1966</v>
      </c>
      <c r="F693" s="112" t="s">
        <v>3033</v>
      </c>
      <c r="G693" s="112">
        <v>3</v>
      </c>
      <c r="H693" s="114" t="s">
        <v>2631</v>
      </c>
      <c r="I693" s="112">
        <f t="shared" si="160"/>
        <v>0</v>
      </c>
      <c r="J693" s="112">
        <f t="shared" si="161"/>
        <v>3</v>
      </c>
      <c r="K693" s="115" t="s">
        <v>2556</v>
      </c>
      <c r="L693" s="115" t="s">
        <v>3131</v>
      </c>
      <c r="M693" s="115" t="s">
        <v>3138</v>
      </c>
      <c r="N693" s="115">
        <v>26000</v>
      </c>
      <c r="O693" s="112">
        <v>2</v>
      </c>
      <c r="P693" s="116" t="s">
        <v>2607</v>
      </c>
      <c r="Q693" s="112" t="str">
        <f t="shared" si="162"/>
        <v/>
      </c>
      <c r="R693" s="112" t="str">
        <f t="shared" si="163"/>
        <v/>
      </c>
      <c r="S693" s="112" t="str">
        <f t="shared" si="166"/>
        <v/>
      </c>
      <c r="T693" s="112" t="str">
        <f t="shared" si="167"/>
        <v/>
      </c>
      <c r="U693" s="112" t="str">
        <f t="shared" si="168"/>
        <v/>
      </c>
      <c r="V693" s="112" t="str">
        <f t="shared" si="169"/>
        <v/>
      </c>
      <c r="W693" s="112" t="str">
        <f t="shared" si="170"/>
        <v/>
      </c>
      <c r="X693" s="112" t="str">
        <f t="shared" si="164"/>
        <v/>
      </c>
      <c r="Y693" s="112" t="str">
        <f t="shared" si="165"/>
        <v/>
      </c>
      <c r="Z693" s="112" t="str">
        <f t="shared" si="171"/>
        <v/>
      </c>
      <c r="AA693" s="112" t="str">
        <f t="shared" si="172"/>
        <v/>
      </c>
      <c r="AB693" s="112" t="str">
        <f t="shared" si="173"/>
        <v/>
      </c>
      <c r="AC693" s="112" t="str">
        <f t="shared" si="174"/>
        <v/>
      </c>
      <c r="AD693" s="112" t="str">
        <f t="shared" si="175"/>
        <v/>
      </c>
    </row>
    <row r="694" spans="1:30" x14ac:dyDescent="0.2">
      <c r="A694" s="112" t="str">
        <f>IF(SUM(Q694:R694)=1,1+MAX($A$1:A693),"")</f>
        <v/>
      </c>
      <c r="B694" s="112">
        <f>IF(SUM(X694:Y694)=1,1+MAX($B$1:B693),"")</f>
        <v>70</v>
      </c>
      <c r="C694" s="112" t="str">
        <f>IF(SUM(Q694:R694,X694:Y694)=2,1+MAX($C$1:C693),"")</f>
        <v/>
      </c>
      <c r="D694" s="113">
        <v>24304</v>
      </c>
      <c r="E694" s="112">
        <v>1966</v>
      </c>
      <c r="F694" s="112" t="s">
        <v>3024</v>
      </c>
      <c r="G694" s="112">
        <v>2</v>
      </c>
      <c r="H694" s="114" t="s">
        <v>1134</v>
      </c>
      <c r="I694" s="112">
        <f t="shared" si="160"/>
        <v>0</v>
      </c>
      <c r="J694" s="112">
        <f t="shared" si="161"/>
        <v>0</v>
      </c>
      <c r="K694" s="115" t="s">
        <v>2547</v>
      </c>
      <c r="L694" s="115" t="s">
        <v>3133</v>
      </c>
      <c r="M694" s="115" t="s">
        <v>3139</v>
      </c>
      <c r="N694" s="115">
        <v>51000</v>
      </c>
      <c r="O694" s="112">
        <v>2</v>
      </c>
      <c r="P694" s="116" t="s">
        <v>2613</v>
      </c>
      <c r="Q694" s="112" t="str">
        <f t="shared" si="162"/>
        <v/>
      </c>
      <c r="R694" s="112" t="str">
        <f t="shared" si="163"/>
        <v/>
      </c>
      <c r="S694" s="112" t="str">
        <f t="shared" si="166"/>
        <v/>
      </c>
      <c r="T694" s="112" t="str">
        <f t="shared" si="167"/>
        <v/>
      </c>
      <c r="U694" s="112" t="str">
        <f t="shared" si="168"/>
        <v/>
      </c>
      <c r="V694" s="112" t="str">
        <f t="shared" si="169"/>
        <v/>
      </c>
      <c r="W694" s="112" t="str">
        <f t="shared" si="170"/>
        <v/>
      </c>
      <c r="X694" s="112">
        <f t="shared" si="164"/>
        <v>1</v>
      </c>
      <c r="Y694" s="112" t="str">
        <f t="shared" si="165"/>
        <v/>
      </c>
      <c r="Z694" s="112">
        <f t="shared" si="171"/>
        <v>0</v>
      </c>
      <c r="AA694" s="112">
        <f t="shared" si="172"/>
        <v>1</v>
      </c>
      <c r="AB694" s="112">
        <f t="shared" si="173"/>
        <v>0</v>
      </c>
      <c r="AC694" s="112">
        <f t="shared" si="174"/>
        <v>0</v>
      </c>
      <c r="AD694" s="112">
        <f t="shared" si="175"/>
        <v>0</v>
      </c>
    </row>
    <row r="695" spans="1:30" x14ac:dyDescent="0.2">
      <c r="A695" s="112">
        <f>IF(SUM(Q695:R695)=1,1+MAX($A$1:A694),"")</f>
        <v>47</v>
      </c>
      <c r="B695" s="112" t="str">
        <f>IF(SUM(X695:Y695)=1,1+MAX($B$1:B694),"")</f>
        <v/>
      </c>
      <c r="C695" s="112" t="str">
        <f>IF(SUM(Q695:R695,X695:Y695)=2,1+MAX($C$1:C694),"")</f>
        <v/>
      </c>
      <c r="D695" s="113">
        <v>24304</v>
      </c>
      <c r="E695" s="112">
        <v>1966</v>
      </c>
      <c r="F695" s="112" t="s">
        <v>3035</v>
      </c>
      <c r="G695" s="112">
        <v>1</v>
      </c>
      <c r="H695" s="114" t="s">
        <v>2545</v>
      </c>
      <c r="I695" s="112">
        <f t="shared" si="160"/>
        <v>2</v>
      </c>
      <c r="J695" s="112">
        <f t="shared" si="161"/>
        <v>0</v>
      </c>
      <c r="K695" s="115" t="s">
        <v>1061</v>
      </c>
      <c r="L695" s="115" t="s">
        <v>3117</v>
      </c>
      <c r="M695" s="115" t="s">
        <v>3121</v>
      </c>
      <c r="N695" s="115">
        <v>92570</v>
      </c>
      <c r="O695" s="112">
        <v>2</v>
      </c>
      <c r="P695" s="116" t="s">
        <v>2641</v>
      </c>
      <c r="Q695" s="112">
        <f t="shared" si="162"/>
        <v>1</v>
      </c>
      <c r="R695" s="112" t="str">
        <f t="shared" si="163"/>
        <v/>
      </c>
      <c r="S695" s="112">
        <f t="shared" si="166"/>
        <v>1</v>
      </c>
      <c r="T695" s="112">
        <f t="shared" si="167"/>
        <v>0</v>
      </c>
      <c r="U695" s="112">
        <f t="shared" si="168"/>
        <v>0</v>
      </c>
      <c r="V695" s="112">
        <f t="shared" si="169"/>
        <v>2</v>
      </c>
      <c r="W695" s="112">
        <f t="shared" si="170"/>
        <v>2</v>
      </c>
      <c r="X695" s="112" t="str">
        <f t="shared" si="164"/>
        <v/>
      </c>
      <c r="Y695" s="112" t="str">
        <f t="shared" si="165"/>
        <v/>
      </c>
      <c r="Z695" s="112" t="str">
        <f t="shared" si="171"/>
        <v/>
      </c>
      <c r="AA695" s="112" t="str">
        <f t="shared" si="172"/>
        <v/>
      </c>
      <c r="AB695" s="112" t="str">
        <f t="shared" si="173"/>
        <v/>
      </c>
      <c r="AC695" s="112" t="str">
        <f t="shared" si="174"/>
        <v/>
      </c>
      <c r="AD695" s="112" t="str">
        <f t="shared" si="175"/>
        <v/>
      </c>
    </row>
    <row r="696" spans="1:30" x14ac:dyDescent="0.2">
      <c r="A696" s="112" t="str">
        <f>IF(SUM(Q696:R696)=1,1+MAX($A$1:A695),"")</f>
        <v/>
      </c>
      <c r="B696" s="112" t="str">
        <f>IF(SUM(X696:Y696)=1,1+MAX($B$1:B695),"")</f>
        <v/>
      </c>
      <c r="C696" s="112" t="str">
        <f>IF(SUM(Q696:R696,X696:Y696)=2,1+MAX($C$1:C695),"")</f>
        <v/>
      </c>
      <c r="D696" s="113">
        <v>24303</v>
      </c>
      <c r="E696" s="112">
        <v>1966</v>
      </c>
      <c r="F696" s="112" t="s">
        <v>3020</v>
      </c>
      <c r="G696" s="112">
        <v>4</v>
      </c>
      <c r="H696" s="114" t="s">
        <v>2650</v>
      </c>
      <c r="I696" s="112">
        <f t="shared" si="160"/>
        <v>1</v>
      </c>
      <c r="J696" s="112">
        <f t="shared" si="161"/>
        <v>1</v>
      </c>
      <c r="K696" s="115" t="s">
        <v>2716</v>
      </c>
      <c r="L696" s="115" t="s">
        <v>3134</v>
      </c>
      <c r="M696" s="115" t="s">
        <v>3112</v>
      </c>
      <c r="N696" s="115">
        <v>16000</v>
      </c>
      <c r="O696" s="112">
        <v>2</v>
      </c>
      <c r="P696" s="116" t="s">
        <v>2645</v>
      </c>
      <c r="Q696" s="112" t="str">
        <f t="shared" si="162"/>
        <v/>
      </c>
      <c r="R696" s="112" t="str">
        <f t="shared" si="163"/>
        <v/>
      </c>
      <c r="S696" s="112" t="str">
        <f t="shared" si="166"/>
        <v/>
      </c>
      <c r="T696" s="112" t="str">
        <f t="shared" si="167"/>
        <v/>
      </c>
      <c r="U696" s="112" t="str">
        <f t="shared" si="168"/>
        <v/>
      </c>
      <c r="V696" s="112" t="str">
        <f t="shared" si="169"/>
        <v/>
      </c>
      <c r="W696" s="112" t="str">
        <f t="shared" si="170"/>
        <v/>
      </c>
      <c r="X696" s="112" t="str">
        <f t="shared" si="164"/>
        <v/>
      </c>
      <c r="Y696" s="112" t="str">
        <f t="shared" si="165"/>
        <v/>
      </c>
      <c r="Z696" s="112" t="str">
        <f t="shared" si="171"/>
        <v/>
      </c>
      <c r="AA696" s="112" t="str">
        <f t="shared" si="172"/>
        <v/>
      </c>
      <c r="AB696" s="112" t="str">
        <f t="shared" si="173"/>
        <v/>
      </c>
      <c r="AC696" s="112" t="str">
        <f t="shared" si="174"/>
        <v/>
      </c>
      <c r="AD696" s="112" t="str">
        <f t="shared" si="175"/>
        <v/>
      </c>
    </row>
    <row r="697" spans="1:30" x14ac:dyDescent="0.2">
      <c r="A697" s="112" t="str">
        <f>IF(SUM(Q697:R697)=1,1+MAX($A$1:A696),"")</f>
        <v/>
      </c>
      <c r="B697" s="112" t="str">
        <f>IF(SUM(X697:Y697)=1,1+MAX($B$1:B696),"")</f>
        <v/>
      </c>
      <c r="C697" s="112" t="str">
        <f>IF(SUM(Q697:R697,X697:Y697)=2,1+MAX($C$1:C696),"")</f>
        <v/>
      </c>
      <c r="D697" s="113">
        <v>24303</v>
      </c>
      <c r="E697" s="112">
        <v>1966</v>
      </c>
      <c r="F697" s="112" t="s">
        <v>3033</v>
      </c>
      <c r="G697" s="112">
        <v>3</v>
      </c>
      <c r="H697" s="114" t="s">
        <v>1442</v>
      </c>
      <c r="I697" s="112">
        <f t="shared" si="160"/>
        <v>1</v>
      </c>
      <c r="J697" s="112">
        <f t="shared" si="161"/>
        <v>3</v>
      </c>
      <c r="K697" s="115" t="s">
        <v>2725</v>
      </c>
      <c r="L697" s="115" t="s">
        <v>3120</v>
      </c>
      <c r="M697" s="115" t="s">
        <v>3140</v>
      </c>
      <c r="N697" s="115">
        <v>52000</v>
      </c>
      <c r="O697" s="112">
        <v>2</v>
      </c>
      <c r="P697" s="116" t="s">
        <v>2691</v>
      </c>
      <c r="Q697" s="112" t="str">
        <f t="shared" si="162"/>
        <v/>
      </c>
      <c r="R697" s="112" t="str">
        <f t="shared" si="163"/>
        <v/>
      </c>
      <c r="S697" s="112" t="str">
        <f t="shared" si="166"/>
        <v/>
      </c>
      <c r="T697" s="112" t="str">
        <f t="shared" si="167"/>
        <v/>
      </c>
      <c r="U697" s="112" t="str">
        <f t="shared" si="168"/>
        <v/>
      </c>
      <c r="V697" s="112" t="str">
        <f t="shared" si="169"/>
        <v/>
      </c>
      <c r="W697" s="112" t="str">
        <f t="shared" si="170"/>
        <v/>
      </c>
      <c r="X697" s="112" t="str">
        <f t="shared" si="164"/>
        <v/>
      </c>
      <c r="Y697" s="112" t="str">
        <f t="shared" si="165"/>
        <v/>
      </c>
      <c r="Z697" s="112" t="str">
        <f t="shared" si="171"/>
        <v/>
      </c>
      <c r="AA697" s="112" t="str">
        <f t="shared" si="172"/>
        <v/>
      </c>
      <c r="AB697" s="112" t="str">
        <f t="shared" si="173"/>
        <v/>
      </c>
      <c r="AC697" s="112" t="str">
        <f t="shared" si="174"/>
        <v/>
      </c>
      <c r="AD697" s="112" t="str">
        <f t="shared" si="175"/>
        <v/>
      </c>
    </row>
    <row r="698" spans="1:30" x14ac:dyDescent="0.2">
      <c r="A698" s="112" t="str">
        <f>IF(SUM(Q698:R698)=1,1+MAX($A$1:A697),"")</f>
        <v/>
      </c>
      <c r="B698" s="112" t="str">
        <f>IF(SUM(X698:Y698)=1,1+MAX($B$1:B697),"")</f>
        <v/>
      </c>
      <c r="C698" s="112" t="str">
        <f>IF(SUM(Q698:R698,X698:Y698)=2,1+MAX($C$1:C697),"")</f>
        <v/>
      </c>
      <c r="D698" s="113">
        <v>24303</v>
      </c>
      <c r="E698" s="112">
        <v>1966</v>
      </c>
      <c r="F698" s="112" t="s">
        <v>3024</v>
      </c>
      <c r="G698" s="112">
        <v>2</v>
      </c>
      <c r="H698" s="114" t="s">
        <v>2557</v>
      </c>
      <c r="I698" s="112">
        <f t="shared" si="160"/>
        <v>2</v>
      </c>
      <c r="J698" s="112">
        <f t="shared" si="161"/>
        <v>1</v>
      </c>
      <c r="K698" s="115" t="s">
        <v>2558</v>
      </c>
      <c r="L698" s="115" t="s">
        <v>3123</v>
      </c>
      <c r="M698" s="115" t="s">
        <v>3113</v>
      </c>
      <c r="N698" s="115">
        <v>32000</v>
      </c>
      <c r="O698" s="112">
        <v>2</v>
      </c>
      <c r="P698" s="116" t="s">
        <v>2626</v>
      </c>
      <c r="Q698" s="112" t="str">
        <f t="shared" si="162"/>
        <v/>
      </c>
      <c r="R698" s="112" t="str">
        <f t="shared" si="163"/>
        <v/>
      </c>
      <c r="S698" s="112" t="str">
        <f t="shared" si="166"/>
        <v/>
      </c>
      <c r="T698" s="112" t="str">
        <f t="shared" si="167"/>
        <v/>
      </c>
      <c r="U698" s="112" t="str">
        <f t="shared" si="168"/>
        <v/>
      </c>
      <c r="V698" s="112" t="str">
        <f t="shared" si="169"/>
        <v/>
      </c>
      <c r="W698" s="112" t="str">
        <f t="shared" si="170"/>
        <v/>
      </c>
      <c r="X698" s="112" t="str">
        <f t="shared" si="164"/>
        <v/>
      </c>
      <c r="Y698" s="112" t="str">
        <f t="shared" si="165"/>
        <v/>
      </c>
      <c r="Z698" s="112" t="str">
        <f t="shared" si="171"/>
        <v/>
      </c>
      <c r="AA698" s="112" t="str">
        <f t="shared" si="172"/>
        <v/>
      </c>
      <c r="AB698" s="112" t="str">
        <f t="shared" si="173"/>
        <v/>
      </c>
      <c r="AC698" s="112" t="str">
        <f t="shared" si="174"/>
        <v/>
      </c>
      <c r="AD698" s="112" t="str">
        <f t="shared" si="175"/>
        <v/>
      </c>
    </row>
    <row r="699" spans="1:30" x14ac:dyDescent="0.2">
      <c r="A699" s="112" t="str">
        <f>IF(SUM(Q699:R699)=1,1+MAX($A$1:A698),"")</f>
        <v/>
      </c>
      <c r="B699" s="112" t="str">
        <f>IF(SUM(X699:Y699)=1,1+MAX($B$1:B698),"")</f>
        <v/>
      </c>
      <c r="C699" s="112" t="str">
        <f>IF(SUM(Q699:R699,X699:Y699)=2,1+MAX($C$1:C698),"")</f>
        <v/>
      </c>
      <c r="D699" s="113">
        <v>24303</v>
      </c>
      <c r="E699" s="112">
        <v>1966</v>
      </c>
      <c r="F699" s="112" t="s">
        <v>3035</v>
      </c>
      <c r="G699" s="112">
        <v>1</v>
      </c>
      <c r="H699" s="114" t="s">
        <v>2541</v>
      </c>
      <c r="I699" s="112">
        <f t="shared" si="160"/>
        <v>1</v>
      </c>
      <c r="J699" s="112">
        <f t="shared" si="161"/>
        <v>2</v>
      </c>
      <c r="K699" s="115" t="s">
        <v>2540</v>
      </c>
      <c r="L699" s="115" t="s">
        <v>3141</v>
      </c>
      <c r="M699" s="115" t="s">
        <v>3142</v>
      </c>
      <c r="N699" s="115">
        <v>45662</v>
      </c>
      <c r="O699" s="112">
        <v>3</v>
      </c>
      <c r="P699" s="116" t="s">
        <v>2638</v>
      </c>
      <c r="Q699" s="112" t="str">
        <f t="shared" si="162"/>
        <v/>
      </c>
      <c r="R699" s="112" t="str">
        <f t="shared" si="163"/>
        <v/>
      </c>
      <c r="S699" s="112" t="str">
        <f t="shared" si="166"/>
        <v/>
      </c>
      <c r="T699" s="112" t="str">
        <f t="shared" si="167"/>
        <v/>
      </c>
      <c r="U699" s="112" t="str">
        <f t="shared" si="168"/>
        <v/>
      </c>
      <c r="V699" s="112" t="str">
        <f t="shared" si="169"/>
        <v/>
      </c>
      <c r="W699" s="112" t="str">
        <f t="shared" si="170"/>
        <v/>
      </c>
      <c r="X699" s="112" t="str">
        <f t="shared" si="164"/>
        <v/>
      </c>
      <c r="Y699" s="112" t="str">
        <f t="shared" si="165"/>
        <v/>
      </c>
      <c r="Z699" s="112" t="str">
        <f t="shared" si="171"/>
        <v/>
      </c>
      <c r="AA699" s="112" t="str">
        <f t="shared" si="172"/>
        <v/>
      </c>
      <c r="AB699" s="112" t="str">
        <f t="shared" si="173"/>
        <v/>
      </c>
      <c r="AC699" s="112" t="str">
        <f t="shared" si="174"/>
        <v/>
      </c>
      <c r="AD699" s="112" t="str">
        <f t="shared" si="175"/>
        <v/>
      </c>
    </row>
    <row r="700" spans="1:30" x14ac:dyDescent="0.2">
      <c r="A700" s="112" t="str">
        <f>IF(SUM(Q700:R700)=1,1+MAX($A$1:A699),"")</f>
        <v/>
      </c>
      <c r="B700" s="112" t="str">
        <f>IF(SUM(X700:Y700)=1,1+MAX($B$1:B699),"")</f>
        <v/>
      </c>
      <c r="C700" s="112" t="str">
        <f>IF(SUM(Q700:R700,X700:Y700)=2,1+MAX($C$1:C699),"")</f>
        <v/>
      </c>
      <c r="D700" s="113">
        <v>24301</v>
      </c>
      <c r="E700" s="112">
        <v>1966</v>
      </c>
      <c r="F700" s="112" t="s">
        <v>3020</v>
      </c>
      <c r="G700" s="112">
        <v>4</v>
      </c>
      <c r="H700" s="114" t="s">
        <v>2650</v>
      </c>
      <c r="I700" s="112">
        <f t="shared" si="160"/>
        <v>0</v>
      </c>
      <c r="J700" s="112">
        <f t="shared" si="161"/>
        <v>2</v>
      </c>
      <c r="K700" s="115" t="s">
        <v>2674</v>
      </c>
      <c r="L700" s="115" t="s">
        <v>3127</v>
      </c>
      <c r="M700" s="115" t="s">
        <v>3118</v>
      </c>
      <c r="N700" s="115">
        <v>30000</v>
      </c>
      <c r="O700" s="112">
        <v>2</v>
      </c>
      <c r="P700" s="116" t="s">
        <v>2687</v>
      </c>
      <c r="Q700" s="112" t="str">
        <f t="shared" si="162"/>
        <v/>
      </c>
      <c r="R700" s="112" t="str">
        <f t="shared" si="163"/>
        <v/>
      </c>
      <c r="S700" s="112" t="str">
        <f t="shared" si="166"/>
        <v/>
      </c>
      <c r="T700" s="112" t="str">
        <f t="shared" si="167"/>
        <v/>
      </c>
      <c r="U700" s="112" t="str">
        <f t="shared" si="168"/>
        <v/>
      </c>
      <c r="V700" s="112" t="str">
        <f t="shared" si="169"/>
        <v/>
      </c>
      <c r="W700" s="112" t="str">
        <f t="shared" si="170"/>
        <v/>
      </c>
      <c r="X700" s="112" t="str">
        <f t="shared" si="164"/>
        <v/>
      </c>
      <c r="Y700" s="112" t="str">
        <f t="shared" si="165"/>
        <v/>
      </c>
      <c r="Z700" s="112" t="str">
        <f t="shared" si="171"/>
        <v/>
      </c>
      <c r="AA700" s="112" t="str">
        <f t="shared" si="172"/>
        <v/>
      </c>
      <c r="AB700" s="112" t="str">
        <f t="shared" si="173"/>
        <v/>
      </c>
      <c r="AC700" s="112" t="str">
        <f t="shared" si="174"/>
        <v/>
      </c>
      <c r="AD700" s="112" t="str">
        <f t="shared" si="175"/>
        <v/>
      </c>
    </row>
    <row r="701" spans="1:30" x14ac:dyDescent="0.2">
      <c r="A701" s="112" t="str">
        <f>IF(SUM(Q701:R701)=1,1+MAX($A$1:A700),"")</f>
        <v/>
      </c>
      <c r="B701" s="112" t="str">
        <f>IF(SUM(X701:Y701)=1,1+MAX($B$1:B700),"")</f>
        <v/>
      </c>
      <c r="C701" s="112" t="str">
        <f>IF(SUM(Q701:R701,X701:Y701)=2,1+MAX($C$1:C700),"")</f>
        <v/>
      </c>
      <c r="D701" s="113">
        <v>24301</v>
      </c>
      <c r="E701" s="112">
        <v>1966</v>
      </c>
      <c r="F701" s="112" t="s">
        <v>3033</v>
      </c>
      <c r="G701" s="112">
        <v>3</v>
      </c>
      <c r="H701" s="114" t="s">
        <v>2725</v>
      </c>
      <c r="I701" s="112">
        <f t="shared" si="160"/>
        <v>1</v>
      </c>
      <c r="J701" s="112">
        <f t="shared" si="161"/>
        <v>3</v>
      </c>
      <c r="K701" s="115" t="s">
        <v>2556</v>
      </c>
      <c r="L701" s="115" t="s">
        <v>3131</v>
      </c>
      <c r="M701" s="115" t="s">
        <v>3143</v>
      </c>
      <c r="N701" s="115">
        <v>37000</v>
      </c>
      <c r="O701" s="112">
        <v>2</v>
      </c>
      <c r="P701" s="116" t="s">
        <v>2691</v>
      </c>
      <c r="Q701" s="112" t="str">
        <f t="shared" si="162"/>
        <v/>
      </c>
      <c r="R701" s="112" t="str">
        <f t="shared" si="163"/>
        <v/>
      </c>
      <c r="S701" s="112" t="str">
        <f t="shared" si="166"/>
        <v/>
      </c>
      <c r="T701" s="112" t="str">
        <f t="shared" si="167"/>
        <v/>
      </c>
      <c r="U701" s="112" t="str">
        <f t="shared" si="168"/>
        <v/>
      </c>
      <c r="V701" s="112" t="str">
        <f t="shared" si="169"/>
        <v/>
      </c>
      <c r="W701" s="112" t="str">
        <f t="shared" si="170"/>
        <v/>
      </c>
      <c r="X701" s="112" t="str">
        <f t="shared" si="164"/>
        <v/>
      </c>
      <c r="Y701" s="112" t="str">
        <f t="shared" si="165"/>
        <v/>
      </c>
      <c r="Z701" s="112" t="str">
        <f t="shared" si="171"/>
        <v/>
      </c>
      <c r="AA701" s="112" t="str">
        <f t="shared" si="172"/>
        <v/>
      </c>
      <c r="AB701" s="112" t="str">
        <f t="shared" si="173"/>
        <v/>
      </c>
      <c r="AC701" s="112" t="str">
        <f t="shared" si="174"/>
        <v/>
      </c>
      <c r="AD701" s="112" t="str">
        <f t="shared" si="175"/>
        <v/>
      </c>
    </row>
    <row r="702" spans="1:30" x14ac:dyDescent="0.2">
      <c r="A702" s="112" t="str">
        <f>IF(SUM(Q702:R702)=1,1+MAX($A$1:A701),"")</f>
        <v/>
      </c>
      <c r="B702" s="112">
        <f>IF(SUM(X702:Y702)=1,1+MAX($B$1:B701),"")</f>
        <v>71</v>
      </c>
      <c r="C702" s="112" t="str">
        <f>IF(SUM(Q702:R702,X702:Y702)=2,1+MAX($C$1:C701),"")</f>
        <v/>
      </c>
      <c r="D702" s="113">
        <v>24301</v>
      </c>
      <c r="E702" s="112">
        <v>1966</v>
      </c>
      <c r="F702" s="112" t="s">
        <v>3024</v>
      </c>
      <c r="G702" s="112">
        <v>2</v>
      </c>
      <c r="H702" s="114" t="s">
        <v>1134</v>
      </c>
      <c r="I702" s="112">
        <f t="shared" si="160"/>
        <v>2</v>
      </c>
      <c r="J702" s="112">
        <f t="shared" si="161"/>
        <v>1</v>
      </c>
      <c r="K702" s="115" t="s">
        <v>2557</v>
      </c>
      <c r="L702" s="115" t="s">
        <v>3133</v>
      </c>
      <c r="M702" s="115" t="s">
        <v>3144</v>
      </c>
      <c r="N702" s="115">
        <v>48000</v>
      </c>
      <c r="O702" s="112">
        <v>2</v>
      </c>
      <c r="P702" s="116" t="s">
        <v>2626</v>
      </c>
      <c r="Q702" s="112" t="str">
        <f t="shared" si="162"/>
        <v/>
      </c>
      <c r="R702" s="112" t="str">
        <f t="shared" si="163"/>
        <v/>
      </c>
      <c r="S702" s="112" t="str">
        <f t="shared" si="166"/>
        <v/>
      </c>
      <c r="T702" s="112" t="str">
        <f t="shared" si="167"/>
        <v/>
      </c>
      <c r="U702" s="112" t="str">
        <f t="shared" si="168"/>
        <v/>
      </c>
      <c r="V702" s="112" t="str">
        <f t="shared" si="169"/>
        <v/>
      </c>
      <c r="W702" s="112" t="str">
        <f t="shared" si="170"/>
        <v/>
      </c>
      <c r="X702" s="112">
        <f t="shared" si="164"/>
        <v>1</v>
      </c>
      <c r="Y702" s="112" t="str">
        <f t="shared" si="165"/>
        <v/>
      </c>
      <c r="Z702" s="112">
        <f t="shared" si="171"/>
        <v>1</v>
      </c>
      <c r="AA702" s="112">
        <f t="shared" si="172"/>
        <v>0</v>
      </c>
      <c r="AB702" s="112">
        <f t="shared" si="173"/>
        <v>0</v>
      </c>
      <c r="AC702" s="112">
        <f t="shared" si="174"/>
        <v>3</v>
      </c>
      <c r="AD702" s="112">
        <f t="shared" si="175"/>
        <v>1</v>
      </c>
    </row>
    <row r="703" spans="1:30" x14ac:dyDescent="0.2">
      <c r="A703" s="112" t="str">
        <f>IF(SUM(Q703:R703)=1,1+MAX($A$1:A702),"")</f>
        <v/>
      </c>
      <c r="B703" s="112" t="str">
        <f>IF(SUM(X703:Y703)=1,1+MAX($B$1:B702),"")</f>
        <v/>
      </c>
      <c r="C703" s="112" t="str">
        <f>IF(SUM(Q703:R703,X703:Y703)=2,1+MAX($C$1:C702),"")</f>
        <v/>
      </c>
      <c r="D703" s="113">
        <v>24301</v>
      </c>
      <c r="E703" s="112">
        <v>1966</v>
      </c>
      <c r="F703" s="112" t="s">
        <v>3035</v>
      </c>
      <c r="G703" s="112">
        <v>1</v>
      </c>
      <c r="H703" s="114" t="s">
        <v>2541</v>
      </c>
      <c r="I703" s="112">
        <f t="shared" si="160"/>
        <v>1</v>
      </c>
      <c r="J703" s="112">
        <f t="shared" si="161"/>
        <v>1</v>
      </c>
      <c r="K703" s="115" t="s">
        <v>1061</v>
      </c>
      <c r="L703" s="115" t="s">
        <v>3117</v>
      </c>
      <c r="M703" s="115" t="s">
        <v>3125</v>
      </c>
      <c r="N703" s="115">
        <v>69237</v>
      </c>
      <c r="O703" s="112">
        <v>2</v>
      </c>
      <c r="P703" s="116" t="s">
        <v>2645</v>
      </c>
      <c r="Q703" s="112" t="str">
        <f t="shared" si="162"/>
        <v/>
      </c>
      <c r="R703" s="112" t="str">
        <f t="shared" si="163"/>
        <v/>
      </c>
      <c r="S703" s="112" t="str">
        <f t="shared" si="166"/>
        <v/>
      </c>
      <c r="T703" s="112" t="str">
        <f t="shared" si="167"/>
        <v/>
      </c>
      <c r="U703" s="112" t="str">
        <f t="shared" si="168"/>
        <v/>
      </c>
      <c r="V703" s="112" t="str">
        <f t="shared" si="169"/>
        <v/>
      </c>
      <c r="W703" s="112" t="str">
        <f t="shared" si="170"/>
        <v/>
      </c>
      <c r="X703" s="112" t="str">
        <f t="shared" si="164"/>
        <v/>
      </c>
      <c r="Y703" s="112" t="str">
        <f t="shared" si="165"/>
        <v/>
      </c>
      <c r="Z703" s="112" t="str">
        <f t="shared" si="171"/>
        <v/>
      </c>
      <c r="AA703" s="112" t="str">
        <f t="shared" si="172"/>
        <v/>
      </c>
      <c r="AB703" s="112" t="str">
        <f t="shared" si="173"/>
        <v/>
      </c>
      <c r="AC703" s="112" t="str">
        <f t="shared" si="174"/>
        <v/>
      </c>
      <c r="AD703" s="112" t="str">
        <f t="shared" si="175"/>
        <v/>
      </c>
    </row>
    <row r="704" spans="1:30" x14ac:dyDescent="0.2">
      <c r="A704" s="112" t="str">
        <f>IF(SUM(Q704:R704)=1,1+MAX($A$1:A703),"")</f>
        <v/>
      </c>
      <c r="B704" s="112" t="str">
        <f>IF(SUM(X704:Y704)=1,1+MAX($B$1:B703),"")</f>
        <v/>
      </c>
      <c r="C704" s="112" t="str">
        <f>IF(SUM(Q704:R704,X704:Y704)=2,1+MAX($C$1:C703),"")</f>
        <v/>
      </c>
      <c r="D704" s="113">
        <v>24300</v>
      </c>
      <c r="E704" s="112">
        <v>1966</v>
      </c>
      <c r="F704" s="112" t="s">
        <v>3020</v>
      </c>
      <c r="G704" s="112">
        <v>4</v>
      </c>
      <c r="H704" s="114" t="s">
        <v>2716</v>
      </c>
      <c r="I704" s="112">
        <f t="shared" si="160"/>
        <v>0</v>
      </c>
      <c r="J704" s="112">
        <f t="shared" si="161"/>
        <v>3</v>
      </c>
      <c r="K704" s="115" t="s">
        <v>2720</v>
      </c>
      <c r="L704" s="115" t="s">
        <v>3134</v>
      </c>
      <c r="M704" s="115" t="s">
        <v>3128</v>
      </c>
      <c r="N704" s="115">
        <v>22000</v>
      </c>
      <c r="O704" s="112">
        <v>2</v>
      </c>
      <c r="P704" s="116" t="s">
        <v>2607</v>
      </c>
      <c r="Q704" s="112" t="str">
        <f t="shared" si="162"/>
        <v/>
      </c>
      <c r="R704" s="112" t="str">
        <f t="shared" si="163"/>
        <v/>
      </c>
      <c r="S704" s="112" t="str">
        <f t="shared" si="166"/>
        <v/>
      </c>
      <c r="T704" s="112" t="str">
        <f t="shared" si="167"/>
        <v/>
      </c>
      <c r="U704" s="112" t="str">
        <f t="shared" si="168"/>
        <v/>
      </c>
      <c r="V704" s="112" t="str">
        <f t="shared" si="169"/>
        <v/>
      </c>
      <c r="W704" s="112" t="str">
        <f t="shared" si="170"/>
        <v/>
      </c>
      <c r="X704" s="112" t="str">
        <f t="shared" si="164"/>
        <v/>
      </c>
      <c r="Y704" s="112" t="str">
        <f t="shared" si="165"/>
        <v/>
      </c>
      <c r="Z704" s="112" t="str">
        <f t="shared" si="171"/>
        <v/>
      </c>
      <c r="AA704" s="112" t="str">
        <f t="shared" si="172"/>
        <v/>
      </c>
      <c r="AB704" s="112" t="str">
        <f t="shared" si="173"/>
        <v/>
      </c>
      <c r="AC704" s="112" t="str">
        <f t="shared" si="174"/>
        <v/>
      </c>
      <c r="AD704" s="112" t="str">
        <f t="shared" si="175"/>
        <v/>
      </c>
    </row>
    <row r="705" spans="1:30" x14ac:dyDescent="0.2">
      <c r="A705" s="112" t="str">
        <f>IF(SUM(Q705:R705)=1,1+MAX($A$1:A704),"")</f>
        <v/>
      </c>
      <c r="B705" s="112" t="str">
        <f>IF(SUM(X705:Y705)=1,1+MAX($B$1:B704),"")</f>
        <v/>
      </c>
      <c r="C705" s="112" t="str">
        <f>IF(SUM(Q705:R705,X705:Y705)=2,1+MAX($C$1:C704),"")</f>
        <v/>
      </c>
      <c r="D705" s="113">
        <v>24300</v>
      </c>
      <c r="E705" s="112">
        <v>1966</v>
      </c>
      <c r="F705" s="112" t="s">
        <v>3033</v>
      </c>
      <c r="G705" s="112">
        <v>3</v>
      </c>
      <c r="H705" s="114" t="s">
        <v>1442</v>
      </c>
      <c r="I705" s="112">
        <f t="shared" si="160"/>
        <v>2</v>
      </c>
      <c r="J705" s="112">
        <f t="shared" si="161"/>
        <v>0</v>
      </c>
      <c r="K705" s="115" t="s">
        <v>2631</v>
      </c>
      <c r="L705" s="115" t="s">
        <v>3120</v>
      </c>
      <c r="M705" s="115" t="s">
        <v>3089</v>
      </c>
      <c r="N705" s="115">
        <v>48000</v>
      </c>
      <c r="O705" s="112">
        <v>2</v>
      </c>
      <c r="P705" s="116" t="s">
        <v>2641</v>
      </c>
      <c r="Q705" s="112" t="str">
        <f t="shared" ref="Q705:Q768" si="176">IF(H705=team1,1,"")</f>
        <v/>
      </c>
      <c r="R705" s="112" t="str">
        <f t="shared" ref="R705:R768" si="177">IF(K705=team1,1,"")</f>
        <v/>
      </c>
      <c r="S705" s="112" t="str">
        <f t="shared" si="166"/>
        <v/>
      </c>
      <c r="T705" s="112" t="str">
        <f t="shared" si="167"/>
        <v/>
      </c>
      <c r="U705" s="112" t="str">
        <f t="shared" si="168"/>
        <v/>
      </c>
      <c r="V705" s="112" t="str">
        <f t="shared" si="169"/>
        <v/>
      </c>
      <c r="W705" s="112" t="str">
        <f t="shared" si="170"/>
        <v/>
      </c>
      <c r="X705" s="112" t="str">
        <f t="shared" ref="X705:X768" si="178">IF(H705=team2,1,"")</f>
        <v/>
      </c>
      <c r="Y705" s="112" t="str">
        <f t="shared" ref="Y705:Y768" si="179">IF(K705=team2,1,"")</f>
        <v/>
      </c>
      <c r="Z705" s="112" t="str">
        <f t="shared" si="171"/>
        <v/>
      </c>
      <c r="AA705" s="112" t="str">
        <f t="shared" si="172"/>
        <v/>
      </c>
      <c r="AB705" s="112" t="str">
        <f t="shared" si="173"/>
        <v/>
      </c>
      <c r="AC705" s="112" t="str">
        <f t="shared" si="174"/>
        <v/>
      </c>
      <c r="AD705" s="112" t="str">
        <f t="shared" si="175"/>
        <v/>
      </c>
    </row>
    <row r="706" spans="1:30" x14ac:dyDescent="0.2">
      <c r="A706" s="112" t="str">
        <f>IF(SUM(Q706:R706)=1,1+MAX($A$1:A705),"")</f>
        <v/>
      </c>
      <c r="B706" s="112" t="str">
        <f>IF(SUM(X706:Y706)=1,1+MAX($B$1:B705),"")</f>
        <v/>
      </c>
      <c r="C706" s="112" t="str">
        <f>IF(SUM(Q706:R706,X706:Y706)=2,1+MAX($C$1:C705),"")</f>
        <v/>
      </c>
      <c r="D706" s="113">
        <v>24300</v>
      </c>
      <c r="E706" s="112">
        <v>1966</v>
      </c>
      <c r="F706" s="112" t="s">
        <v>3024</v>
      </c>
      <c r="G706" s="112">
        <v>2</v>
      </c>
      <c r="H706" s="114" t="s">
        <v>2547</v>
      </c>
      <c r="I706" s="112">
        <f t="shared" ref="I706:I769" si="180">INT(LEFT(P706,FIND("-",P706)-1))</f>
        <v>5</v>
      </c>
      <c r="J706" s="112">
        <f t="shared" ref="J706:J769" si="181">INT(RIGHT(P706,LEN(P706)-FIND("-",P706)-1))</f>
        <v>0</v>
      </c>
      <c r="K706" s="115" t="s">
        <v>2558</v>
      </c>
      <c r="L706" s="115" t="s">
        <v>3123</v>
      </c>
      <c r="M706" s="115" t="s">
        <v>3145</v>
      </c>
      <c r="N706" s="115">
        <v>36000</v>
      </c>
      <c r="O706" s="112">
        <v>2</v>
      </c>
      <c r="P706" s="116" t="s">
        <v>2879</v>
      </c>
      <c r="Q706" s="112" t="str">
        <f t="shared" si="176"/>
        <v/>
      </c>
      <c r="R706" s="112" t="str">
        <f t="shared" si="177"/>
        <v/>
      </c>
      <c r="S706" s="112" t="str">
        <f t="shared" si="166"/>
        <v/>
      </c>
      <c r="T706" s="112" t="str">
        <f t="shared" si="167"/>
        <v/>
      </c>
      <c r="U706" s="112" t="str">
        <f t="shared" si="168"/>
        <v/>
      </c>
      <c r="V706" s="112" t="str">
        <f t="shared" si="169"/>
        <v/>
      </c>
      <c r="W706" s="112" t="str">
        <f t="shared" si="170"/>
        <v/>
      </c>
      <c r="X706" s="112" t="str">
        <f t="shared" si="178"/>
        <v/>
      </c>
      <c r="Y706" s="112" t="str">
        <f t="shared" si="179"/>
        <v/>
      </c>
      <c r="Z706" s="112" t="str">
        <f t="shared" si="171"/>
        <v/>
      </c>
      <c r="AA706" s="112" t="str">
        <f t="shared" si="172"/>
        <v/>
      </c>
      <c r="AB706" s="112" t="str">
        <f t="shared" si="173"/>
        <v/>
      </c>
      <c r="AC706" s="112" t="str">
        <f t="shared" si="174"/>
        <v/>
      </c>
      <c r="AD706" s="112" t="str">
        <f t="shared" si="175"/>
        <v/>
      </c>
    </row>
    <row r="707" spans="1:30" x14ac:dyDescent="0.2">
      <c r="A707" s="112">
        <f>IF(SUM(Q707:R707)=1,1+MAX($A$1:A706),"")</f>
        <v>48</v>
      </c>
      <c r="B707" s="112" t="str">
        <f>IF(SUM(X707:Y707)=1,1+MAX($B$1:B706),"")</f>
        <v/>
      </c>
      <c r="C707" s="112" t="str">
        <f>IF(SUM(Q707:R707,X707:Y707)=2,1+MAX($C$1:C706),"")</f>
        <v/>
      </c>
      <c r="D707" s="113">
        <v>24299</v>
      </c>
      <c r="E707" s="112">
        <v>1966</v>
      </c>
      <c r="F707" s="112" t="s">
        <v>3035</v>
      </c>
      <c r="G707" s="112">
        <v>1</v>
      </c>
      <c r="H707" s="114" t="s">
        <v>2545</v>
      </c>
      <c r="I707" s="112">
        <f t="shared" si="180"/>
        <v>0</v>
      </c>
      <c r="J707" s="112">
        <f t="shared" si="181"/>
        <v>0</v>
      </c>
      <c r="K707" s="115" t="s">
        <v>2540</v>
      </c>
      <c r="L707" s="115" t="s">
        <v>3117</v>
      </c>
      <c r="M707" s="115" t="s">
        <v>3146</v>
      </c>
      <c r="N707" s="115">
        <v>87148</v>
      </c>
      <c r="O707" s="112">
        <v>3</v>
      </c>
      <c r="P707" s="116" t="s">
        <v>2613</v>
      </c>
      <c r="Q707" s="112">
        <f t="shared" si="176"/>
        <v>1</v>
      </c>
      <c r="R707" s="112" t="str">
        <f t="shared" si="177"/>
        <v/>
      </c>
      <c r="S707" s="112">
        <f t="shared" ref="S707:S770" si="182">IF(Q707=1,IF($I707&gt;$J707,1,0),IF(R707=1,IF($I707&lt;$J707,1,0),""))</f>
        <v>0</v>
      </c>
      <c r="T707" s="112">
        <f t="shared" ref="T707:T770" si="183">IF(Q707=1,IF($I707=$J707,1,0),IF(R707=1,IF($I707=$J707,1,0),""))</f>
        <v>1</v>
      </c>
      <c r="U707" s="112">
        <f t="shared" ref="U707:U770" si="184">IF(Q707=1,IF($I707&lt;$J707,1,0),IF(R707=1,IF($I707&gt;$J707,1,0),""))</f>
        <v>0</v>
      </c>
      <c r="V707" s="112">
        <f t="shared" ref="V707:V770" si="185">IF(SUM(Q707:R707)=1,$I707+$J707,"")</f>
        <v>0</v>
      </c>
      <c r="W707" s="112">
        <f t="shared" ref="W707:W770" si="186">IF(Q707=1,$I707-$J707,IF(R707=1,-($I707-$J707),""))</f>
        <v>0</v>
      </c>
      <c r="X707" s="112" t="str">
        <f t="shared" si="178"/>
        <v/>
      </c>
      <c r="Y707" s="112" t="str">
        <f t="shared" si="179"/>
        <v/>
      </c>
      <c r="Z707" s="112" t="str">
        <f t="shared" ref="Z707:Z770" si="187">IF(X707=1,IF($I707&gt;$J707,1,0),IF(Y707=1,IF($I707&lt;$J707,1,0),""))</f>
        <v/>
      </c>
      <c r="AA707" s="112" t="str">
        <f t="shared" ref="AA707:AA770" si="188">IF(X707=1,IF($I707=$J707,1,0),IF(Y707=1,IF($I707=$J707,1,0),""))</f>
        <v/>
      </c>
      <c r="AB707" s="112" t="str">
        <f t="shared" ref="AB707:AB770" si="189">IF(X707=1,IF($I707&lt;$J707,1,0),IF(Y707=1,IF($I707&gt;$J707,1,0),""))</f>
        <v/>
      </c>
      <c r="AC707" s="112" t="str">
        <f t="shared" ref="AC707:AC770" si="190">IF(SUM(X707:Y707)=1,$I707+$J707,"")</f>
        <v/>
      </c>
      <c r="AD707" s="112" t="str">
        <f t="shared" ref="AD707:AD770" si="191">IF(X707=1,$I707-$J707,IF(Y707=1,-($I707-$J707),""))</f>
        <v/>
      </c>
    </row>
    <row r="708" spans="1:30" x14ac:dyDescent="0.2">
      <c r="A708" s="112" t="str">
        <f>IF(SUM(Q708:R708)=1,1+MAX($A$1:A707),"")</f>
        <v/>
      </c>
      <c r="B708" s="112" t="str">
        <f>IF(SUM(X708:Y708)=1,1+MAX($B$1:B707),"")</f>
        <v/>
      </c>
      <c r="C708" s="112" t="str">
        <f>IF(SUM(Q708:R708,X708:Y708)=2,1+MAX($C$1:C707),"")</f>
        <v/>
      </c>
      <c r="D708" s="113">
        <v>22814</v>
      </c>
      <c r="E708" s="112">
        <v>1962</v>
      </c>
      <c r="F708" s="112" t="s">
        <v>2597</v>
      </c>
      <c r="H708" s="114" t="s">
        <v>1442</v>
      </c>
      <c r="I708" s="112">
        <f t="shared" si="180"/>
        <v>3</v>
      </c>
      <c r="J708" s="112">
        <f t="shared" si="181"/>
        <v>1</v>
      </c>
      <c r="K708" s="115" t="s">
        <v>2648</v>
      </c>
      <c r="L708" s="115" t="s">
        <v>3147</v>
      </c>
      <c r="M708" s="115" t="s">
        <v>3148</v>
      </c>
      <c r="N708" s="115">
        <v>68679</v>
      </c>
      <c r="O708" s="112">
        <v>2</v>
      </c>
      <c r="P708" s="116" t="s">
        <v>2663</v>
      </c>
      <c r="Q708" s="112" t="str">
        <f t="shared" si="176"/>
        <v/>
      </c>
      <c r="R708" s="112" t="str">
        <f t="shared" si="177"/>
        <v/>
      </c>
      <c r="S708" s="112" t="str">
        <f t="shared" si="182"/>
        <v/>
      </c>
      <c r="T708" s="112" t="str">
        <f t="shared" si="183"/>
        <v/>
      </c>
      <c r="U708" s="112" t="str">
        <f t="shared" si="184"/>
        <v/>
      </c>
      <c r="V708" s="112" t="str">
        <f t="shared" si="185"/>
        <v/>
      </c>
      <c r="W708" s="112" t="str">
        <f t="shared" si="186"/>
        <v/>
      </c>
      <c r="X708" s="112" t="str">
        <f t="shared" si="178"/>
        <v/>
      </c>
      <c r="Y708" s="112" t="str">
        <f t="shared" si="179"/>
        <v/>
      </c>
      <c r="Z708" s="112" t="str">
        <f t="shared" si="187"/>
        <v/>
      </c>
      <c r="AA708" s="112" t="str">
        <f t="shared" si="188"/>
        <v/>
      </c>
      <c r="AB708" s="112" t="str">
        <f t="shared" si="189"/>
        <v/>
      </c>
      <c r="AC708" s="112" t="str">
        <f t="shared" si="190"/>
        <v/>
      </c>
      <c r="AD708" s="112" t="str">
        <f t="shared" si="191"/>
        <v/>
      </c>
    </row>
    <row r="709" spans="1:30" x14ac:dyDescent="0.2">
      <c r="A709" s="112" t="str">
        <f>IF(SUM(Q709:R709)=1,1+MAX($A$1:A708),"")</f>
        <v/>
      </c>
      <c r="B709" s="112" t="str">
        <f>IF(SUM(X709:Y709)=1,1+MAX($B$1:B708),"")</f>
        <v/>
      </c>
      <c r="C709" s="112" t="str">
        <f>IF(SUM(Q709:R709,X709:Y709)=2,1+MAX($C$1:C708),"")</f>
        <v/>
      </c>
      <c r="D709" s="113">
        <v>22813</v>
      </c>
      <c r="E709" s="112">
        <v>1962</v>
      </c>
      <c r="F709" s="112" t="s">
        <v>2602</v>
      </c>
      <c r="H709" s="114" t="s">
        <v>2650</v>
      </c>
      <c r="I709" s="112">
        <f t="shared" si="180"/>
        <v>1</v>
      </c>
      <c r="J709" s="112">
        <f t="shared" si="181"/>
        <v>0</v>
      </c>
      <c r="K709" s="115" t="s">
        <v>2862</v>
      </c>
      <c r="L709" s="115" t="s">
        <v>3147</v>
      </c>
      <c r="N709" s="115">
        <v>67000</v>
      </c>
      <c r="O709" s="112">
        <v>2</v>
      </c>
      <c r="P709" s="116" t="s">
        <v>2622</v>
      </c>
      <c r="Q709" s="112" t="str">
        <f t="shared" si="176"/>
        <v/>
      </c>
      <c r="R709" s="112" t="str">
        <f t="shared" si="177"/>
        <v/>
      </c>
      <c r="S709" s="112" t="str">
        <f t="shared" si="182"/>
        <v/>
      </c>
      <c r="T709" s="112" t="str">
        <f t="shared" si="183"/>
        <v/>
      </c>
      <c r="U709" s="112" t="str">
        <f t="shared" si="184"/>
        <v/>
      </c>
      <c r="V709" s="112" t="str">
        <f t="shared" si="185"/>
        <v/>
      </c>
      <c r="W709" s="112" t="str">
        <f t="shared" si="186"/>
        <v/>
      </c>
      <c r="X709" s="112" t="str">
        <f t="shared" si="178"/>
        <v/>
      </c>
      <c r="Y709" s="112" t="str">
        <f t="shared" si="179"/>
        <v/>
      </c>
      <c r="Z709" s="112" t="str">
        <f t="shared" si="187"/>
        <v/>
      </c>
      <c r="AA709" s="112" t="str">
        <f t="shared" si="188"/>
        <v/>
      </c>
      <c r="AB709" s="112" t="str">
        <f t="shared" si="189"/>
        <v/>
      </c>
      <c r="AC709" s="112" t="str">
        <f t="shared" si="190"/>
        <v/>
      </c>
      <c r="AD709" s="112" t="str">
        <f t="shared" si="191"/>
        <v/>
      </c>
    </row>
    <row r="710" spans="1:30" x14ac:dyDescent="0.2">
      <c r="A710" s="112" t="str">
        <f>IF(SUM(Q710:R710)=1,1+MAX($A$1:A709),"")</f>
        <v/>
      </c>
      <c r="B710" s="112" t="str">
        <f>IF(SUM(X710:Y710)=1,1+MAX($B$1:B709),"")</f>
        <v/>
      </c>
      <c r="C710" s="112" t="str">
        <f>IF(SUM(Q710:R710,X710:Y710)=2,1+MAX($C$1:C709),"")</f>
        <v/>
      </c>
      <c r="D710" s="113">
        <v>22810</v>
      </c>
      <c r="E710" s="112">
        <v>1962</v>
      </c>
      <c r="F710" s="112" t="s">
        <v>2609</v>
      </c>
      <c r="H710" s="114" t="s">
        <v>1442</v>
      </c>
      <c r="I710" s="112">
        <f t="shared" si="180"/>
        <v>4</v>
      </c>
      <c r="J710" s="112">
        <f t="shared" si="181"/>
        <v>2</v>
      </c>
      <c r="K710" s="115" t="s">
        <v>2650</v>
      </c>
      <c r="L710" s="115" t="s">
        <v>3147</v>
      </c>
      <c r="M710" s="115" t="s">
        <v>3128</v>
      </c>
      <c r="N710" s="115">
        <v>76500</v>
      </c>
      <c r="O710" s="112">
        <v>2</v>
      </c>
      <c r="P710" s="116" t="s">
        <v>2695</v>
      </c>
      <c r="Q710" s="112" t="str">
        <f t="shared" si="176"/>
        <v/>
      </c>
      <c r="R710" s="112" t="str">
        <f t="shared" si="177"/>
        <v/>
      </c>
      <c r="S710" s="112" t="str">
        <f t="shared" si="182"/>
        <v/>
      </c>
      <c r="T710" s="112" t="str">
        <f t="shared" si="183"/>
        <v/>
      </c>
      <c r="U710" s="112" t="str">
        <f t="shared" si="184"/>
        <v/>
      </c>
      <c r="V710" s="112" t="str">
        <f t="shared" si="185"/>
        <v/>
      </c>
      <c r="W710" s="112" t="str">
        <f t="shared" si="186"/>
        <v/>
      </c>
      <c r="X710" s="112" t="str">
        <f t="shared" si="178"/>
        <v/>
      </c>
      <c r="Y710" s="112" t="str">
        <f t="shared" si="179"/>
        <v/>
      </c>
      <c r="Z710" s="112" t="str">
        <f t="shared" si="187"/>
        <v/>
      </c>
      <c r="AA710" s="112" t="str">
        <f t="shared" si="188"/>
        <v/>
      </c>
      <c r="AB710" s="112" t="str">
        <f t="shared" si="189"/>
        <v/>
      </c>
      <c r="AC710" s="112" t="str">
        <f t="shared" si="190"/>
        <v/>
      </c>
      <c r="AD710" s="112" t="str">
        <f t="shared" si="191"/>
        <v/>
      </c>
    </row>
    <row r="711" spans="1:30" x14ac:dyDescent="0.2">
      <c r="A711" s="112" t="str">
        <f>IF(SUM(Q711:R711)=1,1+MAX($A$1:A710),"")</f>
        <v/>
      </c>
      <c r="B711" s="112" t="str">
        <f>IF(SUM(X711:Y711)=1,1+MAX($B$1:B710),"")</f>
        <v/>
      </c>
      <c r="C711" s="112" t="str">
        <f>IF(SUM(Q711:R711,X711:Y711)=2,1+MAX($C$1:C710),"")</f>
        <v/>
      </c>
      <c r="D711" s="113">
        <v>22810</v>
      </c>
      <c r="E711" s="112">
        <v>1962</v>
      </c>
      <c r="F711" s="112" t="s">
        <v>2609</v>
      </c>
      <c r="H711" s="114" t="s">
        <v>2648</v>
      </c>
      <c r="I711" s="112">
        <f t="shared" si="180"/>
        <v>3</v>
      </c>
      <c r="J711" s="112">
        <f t="shared" si="181"/>
        <v>1</v>
      </c>
      <c r="K711" s="115" t="s">
        <v>2862</v>
      </c>
      <c r="L711" s="115" t="s">
        <v>3149</v>
      </c>
      <c r="M711" s="115" t="s">
        <v>3118</v>
      </c>
      <c r="N711" s="115">
        <v>5890</v>
      </c>
      <c r="O711" s="112">
        <v>2</v>
      </c>
      <c r="P711" s="116" t="s">
        <v>2663</v>
      </c>
      <c r="Q711" s="112" t="str">
        <f t="shared" si="176"/>
        <v/>
      </c>
      <c r="R711" s="112" t="str">
        <f t="shared" si="177"/>
        <v/>
      </c>
      <c r="S711" s="112" t="str">
        <f t="shared" si="182"/>
        <v/>
      </c>
      <c r="T711" s="112" t="str">
        <f t="shared" si="183"/>
        <v/>
      </c>
      <c r="U711" s="112" t="str">
        <f t="shared" si="184"/>
        <v/>
      </c>
      <c r="V711" s="112" t="str">
        <f t="shared" si="185"/>
        <v/>
      </c>
      <c r="W711" s="112" t="str">
        <f t="shared" si="186"/>
        <v/>
      </c>
      <c r="X711" s="112" t="str">
        <f t="shared" si="178"/>
        <v/>
      </c>
      <c r="Y711" s="112" t="str">
        <f t="shared" si="179"/>
        <v/>
      </c>
      <c r="Z711" s="112" t="str">
        <f t="shared" si="187"/>
        <v/>
      </c>
      <c r="AA711" s="112" t="str">
        <f t="shared" si="188"/>
        <v/>
      </c>
      <c r="AB711" s="112" t="str">
        <f t="shared" si="189"/>
        <v/>
      </c>
      <c r="AC711" s="112" t="str">
        <f t="shared" si="190"/>
        <v/>
      </c>
      <c r="AD711" s="112" t="str">
        <f t="shared" si="191"/>
        <v/>
      </c>
    </row>
    <row r="712" spans="1:30" x14ac:dyDescent="0.2">
      <c r="A712" s="112" t="str">
        <f>IF(SUM(Q712:R712)=1,1+MAX($A$1:A711),"")</f>
        <v/>
      </c>
      <c r="B712" s="112" t="str">
        <f>IF(SUM(X712:Y712)=1,1+MAX($B$1:B711),"")</f>
        <v/>
      </c>
      <c r="C712" s="112" t="str">
        <f>IF(SUM(Q712:R712,X712:Y712)=2,1+MAX($C$1:C711),"")</f>
        <v/>
      </c>
      <c r="D712" s="113">
        <v>22807</v>
      </c>
      <c r="E712" s="112">
        <v>1962</v>
      </c>
      <c r="F712" s="112" t="s">
        <v>2618</v>
      </c>
      <c r="H712" s="114" t="s">
        <v>2547</v>
      </c>
      <c r="I712" s="112">
        <f t="shared" si="180"/>
        <v>0</v>
      </c>
      <c r="J712" s="112">
        <f t="shared" si="181"/>
        <v>1</v>
      </c>
      <c r="K712" s="115" t="s">
        <v>2862</v>
      </c>
      <c r="L712" s="115" t="s">
        <v>3147</v>
      </c>
      <c r="M712" s="115" t="s">
        <v>3100</v>
      </c>
      <c r="N712" s="115">
        <v>63324</v>
      </c>
      <c r="O712" s="112">
        <v>2</v>
      </c>
      <c r="P712" s="116" t="s">
        <v>2601</v>
      </c>
      <c r="Q712" s="112" t="str">
        <f t="shared" si="176"/>
        <v/>
      </c>
      <c r="R712" s="112" t="str">
        <f t="shared" si="177"/>
        <v/>
      </c>
      <c r="S712" s="112" t="str">
        <f t="shared" si="182"/>
        <v/>
      </c>
      <c r="T712" s="112" t="str">
        <f t="shared" si="183"/>
        <v/>
      </c>
      <c r="U712" s="112" t="str">
        <f t="shared" si="184"/>
        <v/>
      </c>
      <c r="V712" s="112" t="str">
        <f t="shared" si="185"/>
        <v/>
      </c>
      <c r="W712" s="112" t="str">
        <f t="shared" si="186"/>
        <v/>
      </c>
      <c r="X712" s="112" t="str">
        <f t="shared" si="178"/>
        <v/>
      </c>
      <c r="Y712" s="112" t="str">
        <f t="shared" si="179"/>
        <v/>
      </c>
      <c r="Z712" s="112" t="str">
        <f t="shared" si="187"/>
        <v/>
      </c>
      <c r="AA712" s="112" t="str">
        <f t="shared" si="188"/>
        <v/>
      </c>
      <c r="AB712" s="112" t="str">
        <f t="shared" si="189"/>
        <v/>
      </c>
      <c r="AC712" s="112" t="str">
        <f t="shared" si="190"/>
        <v/>
      </c>
      <c r="AD712" s="112" t="str">
        <f t="shared" si="191"/>
        <v/>
      </c>
    </row>
    <row r="713" spans="1:30" x14ac:dyDescent="0.2">
      <c r="A713" s="112">
        <f>IF(SUM(Q713:R713)=1,1+MAX($A$1:A712),"")</f>
        <v>49</v>
      </c>
      <c r="B713" s="112" t="str">
        <f>IF(SUM(X713:Y713)=1,1+MAX($B$1:B712),"")</f>
        <v/>
      </c>
      <c r="C713" s="112" t="str">
        <f>IF(SUM(Q713:R713,X713:Y713)=2,1+MAX($C$1:C712),"")</f>
        <v/>
      </c>
      <c r="D713" s="113">
        <v>22807</v>
      </c>
      <c r="E713" s="112">
        <v>1962</v>
      </c>
      <c r="F713" s="112" t="s">
        <v>2618</v>
      </c>
      <c r="H713" s="114" t="s">
        <v>1442</v>
      </c>
      <c r="I713" s="112">
        <f t="shared" si="180"/>
        <v>3</v>
      </c>
      <c r="J713" s="112">
        <f t="shared" si="181"/>
        <v>1</v>
      </c>
      <c r="K713" s="115" t="s">
        <v>2545</v>
      </c>
      <c r="L713" s="115" t="s">
        <v>3149</v>
      </c>
      <c r="M713" s="115" t="s">
        <v>3119</v>
      </c>
      <c r="N713" s="115">
        <v>17736</v>
      </c>
      <c r="O713" s="112">
        <v>2</v>
      </c>
      <c r="P713" s="116" t="s">
        <v>2663</v>
      </c>
      <c r="Q713" s="112" t="str">
        <f t="shared" si="176"/>
        <v/>
      </c>
      <c r="R713" s="112">
        <f t="shared" si="177"/>
        <v>1</v>
      </c>
      <c r="S713" s="112">
        <f t="shared" si="182"/>
        <v>0</v>
      </c>
      <c r="T713" s="112">
        <f t="shared" si="183"/>
        <v>0</v>
      </c>
      <c r="U713" s="112">
        <f t="shared" si="184"/>
        <v>1</v>
      </c>
      <c r="V713" s="112">
        <f t="shared" si="185"/>
        <v>4</v>
      </c>
      <c r="W713" s="112">
        <f t="shared" si="186"/>
        <v>-2</v>
      </c>
      <c r="X713" s="112" t="str">
        <f t="shared" si="178"/>
        <v/>
      </c>
      <c r="Y713" s="112" t="str">
        <f t="shared" si="179"/>
        <v/>
      </c>
      <c r="Z713" s="112" t="str">
        <f t="shared" si="187"/>
        <v/>
      </c>
      <c r="AA713" s="112" t="str">
        <f t="shared" si="188"/>
        <v/>
      </c>
      <c r="AB713" s="112" t="str">
        <f t="shared" si="189"/>
        <v/>
      </c>
      <c r="AC713" s="112" t="str">
        <f t="shared" si="190"/>
        <v/>
      </c>
      <c r="AD713" s="112" t="str">
        <f t="shared" si="191"/>
        <v/>
      </c>
    </row>
    <row r="714" spans="1:30" x14ac:dyDescent="0.2">
      <c r="A714" s="112" t="str">
        <f>IF(SUM(Q714:R714)=1,1+MAX($A$1:A713),"")</f>
        <v/>
      </c>
      <c r="B714" s="112" t="str">
        <f>IF(SUM(X714:Y714)=1,1+MAX($B$1:B713),"")</f>
        <v/>
      </c>
      <c r="C714" s="112" t="str">
        <f>IF(SUM(Q714:R714,X714:Y714)=2,1+MAX($C$1:C713),"")</f>
        <v/>
      </c>
      <c r="D714" s="113">
        <v>22807</v>
      </c>
      <c r="E714" s="112">
        <v>1962</v>
      </c>
      <c r="F714" s="112" t="s">
        <v>2618</v>
      </c>
      <c r="H714" s="114" t="s">
        <v>2648</v>
      </c>
      <c r="I714" s="112">
        <f t="shared" si="180"/>
        <v>1</v>
      </c>
      <c r="J714" s="112">
        <f t="shared" si="181"/>
        <v>0</v>
      </c>
      <c r="K714" s="115" t="s">
        <v>2725</v>
      </c>
      <c r="L714" s="115" t="s">
        <v>3150</v>
      </c>
      <c r="M714" s="115" t="s">
        <v>3148</v>
      </c>
      <c r="N714" s="115">
        <v>11690</v>
      </c>
      <c r="O714" s="112">
        <v>2</v>
      </c>
      <c r="P714" s="116" t="s">
        <v>2622</v>
      </c>
      <c r="Q714" s="112" t="str">
        <f t="shared" si="176"/>
        <v/>
      </c>
      <c r="R714" s="112" t="str">
        <f t="shared" si="177"/>
        <v/>
      </c>
      <c r="S714" s="112" t="str">
        <f t="shared" si="182"/>
        <v/>
      </c>
      <c r="T714" s="112" t="str">
        <f t="shared" si="183"/>
        <v/>
      </c>
      <c r="U714" s="112" t="str">
        <f t="shared" si="184"/>
        <v/>
      </c>
      <c r="V714" s="112" t="str">
        <f t="shared" si="185"/>
        <v/>
      </c>
      <c r="W714" s="112" t="str">
        <f t="shared" si="186"/>
        <v/>
      </c>
      <c r="X714" s="112" t="str">
        <f t="shared" si="178"/>
        <v/>
      </c>
      <c r="Y714" s="112" t="str">
        <f t="shared" si="179"/>
        <v/>
      </c>
      <c r="Z714" s="112" t="str">
        <f t="shared" si="187"/>
        <v/>
      </c>
      <c r="AA714" s="112" t="str">
        <f t="shared" si="188"/>
        <v/>
      </c>
      <c r="AB714" s="112" t="str">
        <f t="shared" si="189"/>
        <v/>
      </c>
      <c r="AC714" s="112" t="str">
        <f t="shared" si="190"/>
        <v/>
      </c>
      <c r="AD714" s="112" t="str">
        <f t="shared" si="191"/>
        <v/>
      </c>
    </row>
    <row r="715" spans="1:30" x14ac:dyDescent="0.2">
      <c r="A715" s="112" t="str">
        <f>IF(SUM(Q715:R715)=1,1+MAX($A$1:A714),"")</f>
        <v/>
      </c>
      <c r="B715" s="112" t="str">
        <f>IF(SUM(X715:Y715)=1,1+MAX($B$1:B714),"")</f>
        <v/>
      </c>
      <c r="C715" s="112" t="str">
        <f>IF(SUM(Q715:R715,X715:Y715)=2,1+MAX($C$1:C714),"")</f>
        <v/>
      </c>
      <c r="D715" s="113">
        <v>22807</v>
      </c>
      <c r="E715" s="112">
        <v>1962</v>
      </c>
      <c r="F715" s="112" t="s">
        <v>2618</v>
      </c>
      <c r="H715" s="114" t="s">
        <v>2650</v>
      </c>
      <c r="I715" s="112">
        <f t="shared" si="180"/>
        <v>2</v>
      </c>
      <c r="J715" s="112">
        <f t="shared" si="181"/>
        <v>1</v>
      </c>
      <c r="K715" s="115" t="s">
        <v>2720</v>
      </c>
      <c r="L715" s="115" t="s">
        <v>3151</v>
      </c>
      <c r="M715" s="115" t="s">
        <v>3152</v>
      </c>
      <c r="N715" s="115">
        <v>17268</v>
      </c>
      <c r="O715" s="112">
        <v>2</v>
      </c>
      <c r="P715" s="116" t="s">
        <v>2626</v>
      </c>
      <c r="Q715" s="112" t="str">
        <f t="shared" si="176"/>
        <v/>
      </c>
      <c r="R715" s="112" t="str">
        <f t="shared" si="177"/>
        <v/>
      </c>
      <c r="S715" s="112" t="str">
        <f t="shared" si="182"/>
        <v/>
      </c>
      <c r="T715" s="112" t="str">
        <f t="shared" si="183"/>
        <v/>
      </c>
      <c r="U715" s="112" t="str">
        <f t="shared" si="184"/>
        <v/>
      </c>
      <c r="V715" s="112" t="str">
        <f t="shared" si="185"/>
        <v/>
      </c>
      <c r="W715" s="112" t="str">
        <f t="shared" si="186"/>
        <v/>
      </c>
      <c r="X715" s="112" t="str">
        <f t="shared" si="178"/>
        <v/>
      </c>
      <c r="Y715" s="112" t="str">
        <f t="shared" si="179"/>
        <v/>
      </c>
      <c r="Z715" s="112" t="str">
        <f t="shared" si="187"/>
        <v/>
      </c>
      <c r="AA715" s="112" t="str">
        <f t="shared" si="188"/>
        <v/>
      </c>
      <c r="AB715" s="112" t="str">
        <f t="shared" si="189"/>
        <v/>
      </c>
      <c r="AC715" s="112" t="str">
        <f t="shared" si="190"/>
        <v/>
      </c>
      <c r="AD715" s="112" t="str">
        <f t="shared" si="191"/>
        <v/>
      </c>
    </row>
    <row r="716" spans="1:30" x14ac:dyDescent="0.2">
      <c r="A716" s="112">
        <f>IF(SUM(Q716:R716)=1,1+MAX($A$1:A715),"")</f>
        <v>50</v>
      </c>
      <c r="B716" s="112" t="str">
        <f>IF(SUM(X716:Y716)=1,1+MAX($B$1:B715),"")</f>
        <v/>
      </c>
      <c r="C716" s="112" t="str">
        <f>IF(SUM(Q716:R716,X716:Y716)=2,1+MAX($C$1:C715),"")</f>
        <v/>
      </c>
      <c r="D716" s="113">
        <v>22804</v>
      </c>
      <c r="E716" s="112">
        <v>1962</v>
      </c>
      <c r="F716" s="112" t="s">
        <v>3020</v>
      </c>
      <c r="G716" s="112">
        <v>4</v>
      </c>
      <c r="H716" s="114" t="s">
        <v>2631</v>
      </c>
      <c r="I716" s="112">
        <f t="shared" si="180"/>
        <v>0</v>
      </c>
      <c r="J716" s="112">
        <f t="shared" si="181"/>
        <v>0</v>
      </c>
      <c r="K716" s="115" t="s">
        <v>2545</v>
      </c>
      <c r="L716" s="115" t="s">
        <v>3150</v>
      </c>
      <c r="M716" s="115" t="s">
        <v>3153</v>
      </c>
      <c r="N716" s="115">
        <v>5700</v>
      </c>
      <c r="O716" s="112">
        <v>2</v>
      </c>
      <c r="P716" s="116" t="s">
        <v>2613</v>
      </c>
      <c r="Q716" s="112" t="str">
        <f t="shared" si="176"/>
        <v/>
      </c>
      <c r="R716" s="112">
        <f t="shared" si="177"/>
        <v>1</v>
      </c>
      <c r="S716" s="112">
        <f t="shared" si="182"/>
        <v>0</v>
      </c>
      <c r="T716" s="112">
        <f t="shared" si="183"/>
        <v>1</v>
      </c>
      <c r="U716" s="112">
        <f t="shared" si="184"/>
        <v>0</v>
      </c>
      <c r="V716" s="112">
        <f t="shared" si="185"/>
        <v>0</v>
      </c>
      <c r="W716" s="112">
        <f t="shared" si="186"/>
        <v>0</v>
      </c>
      <c r="X716" s="112" t="str">
        <f t="shared" si="178"/>
        <v/>
      </c>
      <c r="Y716" s="112" t="str">
        <f t="shared" si="179"/>
        <v/>
      </c>
      <c r="Z716" s="112" t="str">
        <f t="shared" si="187"/>
        <v/>
      </c>
      <c r="AA716" s="112" t="str">
        <f t="shared" si="188"/>
        <v/>
      </c>
      <c r="AB716" s="112" t="str">
        <f t="shared" si="189"/>
        <v/>
      </c>
      <c r="AC716" s="112" t="str">
        <f t="shared" si="190"/>
        <v/>
      </c>
      <c r="AD716" s="112" t="str">
        <f t="shared" si="191"/>
        <v/>
      </c>
    </row>
    <row r="717" spans="1:30" x14ac:dyDescent="0.2">
      <c r="A717" s="112" t="str">
        <f>IF(SUM(Q717:R717)=1,1+MAX($A$1:A716),"")</f>
        <v/>
      </c>
      <c r="B717" s="112" t="str">
        <f>IF(SUM(X717:Y717)=1,1+MAX($B$1:B716),"")</f>
        <v/>
      </c>
      <c r="C717" s="112" t="str">
        <f>IF(SUM(Q717:R717,X717:Y717)=2,1+MAX($C$1:C716),"")</f>
        <v/>
      </c>
      <c r="D717" s="113">
        <v>22804</v>
      </c>
      <c r="E717" s="112">
        <v>1962</v>
      </c>
      <c r="F717" s="112" t="s">
        <v>3033</v>
      </c>
      <c r="G717" s="112">
        <v>3</v>
      </c>
      <c r="H717" s="114" t="s">
        <v>2648</v>
      </c>
      <c r="I717" s="112">
        <f t="shared" si="180"/>
        <v>1</v>
      </c>
      <c r="J717" s="112">
        <f t="shared" si="181"/>
        <v>3</v>
      </c>
      <c r="K717" s="115" t="s">
        <v>1061</v>
      </c>
      <c r="L717" s="115" t="s">
        <v>3149</v>
      </c>
      <c r="M717" s="115" t="s">
        <v>3118</v>
      </c>
      <c r="N717" s="115">
        <v>10648</v>
      </c>
      <c r="O717" s="112">
        <v>2</v>
      </c>
      <c r="P717" s="116" t="s">
        <v>2691</v>
      </c>
      <c r="Q717" s="112" t="str">
        <f t="shared" si="176"/>
        <v/>
      </c>
      <c r="R717" s="112" t="str">
        <f t="shared" si="177"/>
        <v/>
      </c>
      <c r="S717" s="112" t="str">
        <f t="shared" si="182"/>
        <v/>
      </c>
      <c r="T717" s="112" t="str">
        <f t="shared" si="183"/>
        <v/>
      </c>
      <c r="U717" s="112" t="str">
        <f t="shared" si="184"/>
        <v/>
      </c>
      <c r="V717" s="112" t="str">
        <f t="shared" si="185"/>
        <v/>
      </c>
      <c r="W717" s="112" t="str">
        <f t="shared" si="186"/>
        <v/>
      </c>
      <c r="X717" s="112" t="str">
        <f t="shared" si="178"/>
        <v/>
      </c>
      <c r="Y717" s="112" t="str">
        <f t="shared" si="179"/>
        <v/>
      </c>
      <c r="Z717" s="112" t="str">
        <f t="shared" si="187"/>
        <v/>
      </c>
      <c r="AA717" s="112" t="str">
        <f t="shared" si="188"/>
        <v/>
      </c>
      <c r="AB717" s="112" t="str">
        <f t="shared" si="189"/>
        <v/>
      </c>
      <c r="AC717" s="112" t="str">
        <f t="shared" si="190"/>
        <v/>
      </c>
      <c r="AD717" s="112" t="str">
        <f t="shared" si="191"/>
        <v/>
      </c>
    </row>
    <row r="718" spans="1:30" x14ac:dyDescent="0.2">
      <c r="A718" s="112" t="str">
        <f>IF(SUM(Q718:R718)=1,1+MAX($A$1:A717),"")</f>
        <v/>
      </c>
      <c r="B718" s="112" t="str">
        <f>IF(SUM(X718:Y718)=1,1+MAX($B$1:B717),"")</f>
        <v/>
      </c>
      <c r="C718" s="112" t="str">
        <f>IF(SUM(Q718:R718,X718:Y718)=2,1+MAX($C$1:C717),"")</f>
        <v/>
      </c>
      <c r="D718" s="113">
        <v>22804</v>
      </c>
      <c r="E718" s="112">
        <v>1962</v>
      </c>
      <c r="F718" s="112" t="s">
        <v>3024</v>
      </c>
      <c r="G718" s="112">
        <v>2</v>
      </c>
      <c r="H718" s="114" t="s">
        <v>2674</v>
      </c>
      <c r="I718" s="112">
        <f t="shared" si="180"/>
        <v>3</v>
      </c>
      <c r="J718" s="112">
        <f t="shared" si="181"/>
        <v>0</v>
      </c>
      <c r="K718" s="115" t="s">
        <v>2558</v>
      </c>
      <c r="L718" s="115" t="s">
        <v>3147</v>
      </c>
      <c r="M718" s="115" t="s">
        <v>3148</v>
      </c>
      <c r="N718" s="115">
        <v>59828</v>
      </c>
      <c r="O718" s="112">
        <v>2</v>
      </c>
      <c r="P718" s="116" t="s">
        <v>2713</v>
      </c>
      <c r="Q718" s="112" t="str">
        <f t="shared" si="176"/>
        <v/>
      </c>
      <c r="R718" s="112" t="str">
        <f t="shared" si="177"/>
        <v/>
      </c>
      <c r="S718" s="112" t="str">
        <f t="shared" si="182"/>
        <v/>
      </c>
      <c r="T718" s="112" t="str">
        <f t="shared" si="183"/>
        <v/>
      </c>
      <c r="U718" s="112" t="str">
        <f t="shared" si="184"/>
        <v/>
      </c>
      <c r="V718" s="112" t="str">
        <f t="shared" si="185"/>
        <v/>
      </c>
      <c r="W718" s="112" t="str">
        <f t="shared" si="186"/>
        <v/>
      </c>
      <c r="X718" s="112" t="str">
        <f t="shared" si="178"/>
        <v/>
      </c>
      <c r="Y718" s="112" t="str">
        <f t="shared" si="179"/>
        <v/>
      </c>
      <c r="Z718" s="112" t="str">
        <f t="shared" si="187"/>
        <v/>
      </c>
      <c r="AA718" s="112" t="str">
        <f t="shared" si="188"/>
        <v/>
      </c>
      <c r="AB718" s="112" t="str">
        <f t="shared" si="189"/>
        <v/>
      </c>
      <c r="AC718" s="112" t="str">
        <f t="shared" si="190"/>
        <v/>
      </c>
      <c r="AD718" s="112" t="str">
        <f t="shared" si="191"/>
        <v/>
      </c>
    </row>
    <row r="719" spans="1:30" x14ac:dyDescent="0.2">
      <c r="A719" s="112" t="str">
        <f>IF(SUM(Q719:R719)=1,1+MAX($A$1:A718),"")</f>
        <v/>
      </c>
      <c r="B719" s="112" t="str">
        <f>IF(SUM(X719:Y719)=1,1+MAX($B$1:B718),"")</f>
        <v/>
      </c>
      <c r="C719" s="112" t="str">
        <f>IF(SUM(Q719:R719,X719:Y719)=2,1+MAX($C$1:C718),"")</f>
        <v/>
      </c>
      <c r="D719" s="113">
        <v>22804</v>
      </c>
      <c r="E719" s="112">
        <v>1962</v>
      </c>
      <c r="F719" s="112" t="s">
        <v>3035</v>
      </c>
      <c r="G719" s="112">
        <v>1</v>
      </c>
      <c r="H719" s="114" t="s">
        <v>1347</v>
      </c>
      <c r="I719" s="112">
        <f t="shared" si="180"/>
        <v>0</v>
      </c>
      <c r="J719" s="112">
        <f t="shared" si="181"/>
        <v>5</v>
      </c>
      <c r="K719" s="115" t="s">
        <v>2862</v>
      </c>
      <c r="L719" s="115" t="s">
        <v>3151</v>
      </c>
      <c r="M719" s="115" t="s">
        <v>3154</v>
      </c>
      <c r="N719" s="115">
        <v>7167</v>
      </c>
      <c r="O719" s="112">
        <v>2</v>
      </c>
      <c r="P719" s="116" t="s">
        <v>3155</v>
      </c>
      <c r="Q719" s="112" t="str">
        <f t="shared" si="176"/>
        <v/>
      </c>
      <c r="R719" s="112" t="str">
        <f t="shared" si="177"/>
        <v/>
      </c>
      <c r="S719" s="112" t="str">
        <f t="shared" si="182"/>
        <v/>
      </c>
      <c r="T719" s="112" t="str">
        <f t="shared" si="183"/>
        <v/>
      </c>
      <c r="U719" s="112" t="str">
        <f t="shared" si="184"/>
        <v/>
      </c>
      <c r="V719" s="112" t="str">
        <f t="shared" si="185"/>
        <v/>
      </c>
      <c r="W719" s="112" t="str">
        <f t="shared" si="186"/>
        <v/>
      </c>
      <c r="X719" s="112" t="str">
        <f t="shared" si="178"/>
        <v/>
      </c>
      <c r="Y719" s="112" t="str">
        <f t="shared" si="179"/>
        <v/>
      </c>
      <c r="Z719" s="112" t="str">
        <f t="shared" si="187"/>
        <v/>
      </c>
      <c r="AA719" s="112" t="str">
        <f t="shared" si="188"/>
        <v/>
      </c>
      <c r="AB719" s="112" t="str">
        <f t="shared" si="189"/>
        <v/>
      </c>
      <c r="AC719" s="112" t="str">
        <f t="shared" si="190"/>
        <v/>
      </c>
      <c r="AD719" s="112" t="str">
        <f t="shared" si="191"/>
        <v/>
      </c>
    </row>
    <row r="720" spans="1:30" x14ac:dyDescent="0.2">
      <c r="A720" s="112" t="str">
        <f>IF(SUM(Q720:R720)=1,1+MAX($A$1:A719),"")</f>
        <v/>
      </c>
      <c r="B720" s="112">
        <f>IF(SUM(X720:Y720)=1,1+MAX($B$1:B719),"")</f>
        <v>72</v>
      </c>
      <c r="C720" s="112" t="str">
        <f>IF(SUM(Q720:R720,X720:Y720)=2,1+MAX($C$1:C719),"")</f>
        <v/>
      </c>
      <c r="D720" s="113">
        <v>22803</v>
      </c>
      <c r="E720" s="112">
        <v>1962</v>
      </c>
      <c r="F720" s="112" t="s">
        <v>3020</v>
      </c>
      <c r="G720" s="112">
        <v>4</v>
      </c>
      <c r="H720" s="114" t="s">
        <v>1134</v>
      </c>
      <c r="I720" s="112">
        <f t="shared" si="180"/>
        <v>0</v>
      </c>
      <c r="J720" s="112">
        <f t="shared" si="181"/>
        <v>0</v>
      </c>
      <c r="K720" s="115" t="s">
        <v>2725</v>
      </c>
      <c r="L720" s="115" t="s">
        <v>3150</v>
      </c>
      <c r="M720" s="115" t="s">
        <v>3100</v>
      </c>
      <c r="N720" s="115">
        <v>7945</v>
      </c>
      <c r="O720" s="112">
        <v>2</v>
      </c>
      <c r="P720" s="116" t="s">
        <v>2613</v>
      </c>
      <c r="Q720" s="112" t="str">
        <f t="shared" si="176"/>
        <v/>
      </c>
      <c r="R720" s="112" t="str">
        <f t="shared" si="177"/>
        <v/>
      </c>
      <c r="S720" s="112" t="str">
        <f t="shared" si="182"/>
        <v/>
      </c>
      <c r="T720" s="112" t="str">
        <f t="shared" si="183"/>
        <v/>
      </c>
      <c r="U720" s="112" t="str">
        <f t="shared" si="184"/>
        <v/>
      </c>
      <c r="V720" s="112" t="str">
        <f t="shared" si="185"/>
        <v/>
      </c>
      <c r="W720" s="112" t="str">
        <f t="shared" si="186"/>
        <v/>
      </c>
      <c r="X720" s="112">
        <f t="shared" si="178"/>
        <v>1</v>
      </c>
      <c r="Y720" s="112" t="str">
        <f t="shared" si="179"/>
        <v/>
      </c>
      <c r="Z720" s="112">
        <f t="shared" si="187"/>
        <v>0</v>
      </c>
      <c r="AA720" s="112">
        <f t="shared" si="188"/>
        <v>1</v>
      </c>
      <c r="AB720" s="112">
        <f t="shared" si="189"/>
        <v>0</v>
      </c>
      <c r="AC720" s="112">
        <f t="shared" si="190"/>
        <v>0</v>
      </c>
      <c r="AD720" s="112">
        <f t="shared" si="191"/>
        <v>0</v>
      </c>
    </row>
    <row r="721" spans="1:30" x14ac:dyDescent="0.2">
      <c r="A721" s="112" t="str">
        <f>IF(SUM(Q721:R721)=1,1+MAX($A$1:A720),"")</f>
        <v/>
      </c>
      <c r="B721" s="112" t="str">
        <f>IF(SUM(X721:Y721)=1,1+MAX($B$1:B720),"")</f>
        <v/>
      </c>
      <c r="C721" s="112" t="str">
        <f>IF(SUM(Q721:R721,X721:Y721)=2,1+MAX($C$1:C720),"")</f>
        <v/>
      </c>
      <c r="D721" s="113">
        <v>22803</v>
      </c>
      <c r="E721" s="112">
        <v>1962</v>
      </c>
      <c r="F721" s="112" t="s">
        <v>3033</v>
      </c>
      <c r="G721" s="112">
        <v>3</v>
      </c>
      <c r="H721" s="114" t="s">
        <v>1442</v>
      </c>
      <c r="I721" s="112">
        <f t="shared" si="180"/>
        <v>2</v>
      </c>
      <c r="J721" s="112">
        <f t="shared" si="181"/>
        <v>1</v>
      </c>
      <c r="K721" s="115" t="s">
        <v>2557</v>
      </c>
      <c r="L721" s="115" t="s">
        <v>3149</v>
      </c>
      <c r="M721" s="115" t="s">
        <v>3156</v>
      </c>
      <c r="N721" s="115">
        <v>18715</v>
      </c>
      <c r="O721" s="112">
        <v>2</v>
      </c>
      <c r="P721" s="116" t="s">
        <v>2626</v>
      </c>
      <c r="Q721" s="112" t="str">
        <f t="shared" si="176"/>
        <v/>
      </c>
      <c r="R721" s="112" t="str">
        <f t="shared" si="177"/>
        <v/>
      </c>
      <c r="S721" s="112" t="str">
        <f t="shared" si="182"/>
        <v/>
      </c>
      <c r="T721" s="112" t="str">
        <f t="shared" si="183"/>
        <v/>
      </c>
      <c r="U721" s="112" t="str">
        <f t="shared" si="184"/>
        <v/>
      </c>
      <c r="V721" s="112" t="str">
        <f t="shared" si="185"/>
        <v/>
      </c>
      <c r="W721" s="112" t="str">
        <f t="shared" si="186"/>
        <v/>
      </c>
      <c r="X721" s="112" t="str">
        <f t="shared" si="178"/>
        <v/>
      </c>
      <c r="Y721" s="112" t="str">
        <f t="shared" si="179"/>
        <v/>
      </c>
      <c r="Z721" s="112" t="str">
        <f t="shared" si="187"/>
        <v/>
      </c>
      <c r="AA721" s="112" t="str">
        <f t="shared" si="188"/>
        <v/>
      </c>
      <c r="AB721" s="112" t="str">
        <f t="shared" si="189"/>
        <v/>
      </c>
      <c r="AC721" s="112" t="str">
        <f t="shared" si="190"/>
        <v/>
      </c>
      <c r="AD721" s="112" t="str">
        <f t="shared" si="191"/>
        <v/>
      </c>
    </row>
    <row r="722" spans="1:30" x14ac:dyDescent="0.2">
      <c r="A722" s="112" t="str">
        <f>IF(SUM(Q722:R722)=1,1+MAX($A$1:A721),"")</f>
        <v/>
      </c>
      <c r="B722" s="112" t="str">
        <f>IF(SUM(X722:Y722)=1,1+MAX($B$1:B721),"")</f>
        <v/>
      </c>
      <c r="C722" s="112" t="str">
        <f>IF(SUM(Q722:R722,X722:Y722)=2,1+MAX($C$1:C721),"")</f>
        <v/>
      </c>
      <c r="D722" s="113">
        <v>22803</v>
      </c>
      <c r="E722" s="112">
        <v>1962</v>
      </c>
      <c r="F722" s="112" t="s">
        <v>3024</v>
      </c>
      <c r="G722" s="112">
        <v>2</v>
      </c>
      <c r="H722" s="114" t="s">
        <v>2650</v>
      </c>
      <c r="I722" s="112">
        <f t="shared" si="180"/>
        <v>0</v>
      </c>
      <c r="J722" s="112">
        <f t="shared" si="181"/>
        <v>2</v>
      </c>
      <c r="K722" s="115" t="s">
        <v>2547</v>
      </c>
      <c r="L722" s="115" t="s">
        <v>3147</v>
      </c>
      <c r="M722" s="115" t="s">
        <v>3157</v>
      </c>
      <c r="N722" s="115">
        <v>67224</v>
      </c>
      <c r="O722" s="112">
        <v>2</v>
      </c>
      <c r="P722" s="116" t="s">
        <v>2687</v>
      </c>
      <c r="Q722" s="112" t="str">
        <f t="shared" si="176"/>
        <v/>
      </c>
      <c r="R722" s="112" t="str">
        <f t="shared" si="177"/>
        <v/>
      </c>
      <c r="S722" s="112" t="str">
        <f t="shared" si="182"/>
        <v/>
      </c>
      <c r="T722" s="112" t="str">
        <f t="shared" si="183"/>
        <v/>
      </c>
      <c r="U722" s="112" t="str">
        <f t="shared" si="184"/>
        <v/>
      </c>
      <c r="V722" s="112" t="str">
        <f t="shared" si="185"/>
        <v/>
      </c>
      <c r="W722" s="112" t="str">
        <f t="shared" si="186"/>
        <v/>
      </c>
      <c r="X722" s="112" t="str">
        <f t="shared" si="178"/>
        <v/>
      </c>
      <c r="Y722" s="112" t="str">
        <f t="shared" si="179"/>
        <v/>
      </c>
      <c r="Z722" s="112" t="str">
        <f t="shared" si="187"/>
        <v/>
      </c>
      <c r="AA722" s="112" t="str">
        <f t="shared" si="188"/>
        <v/>
      </c>
      <c r="AB722" s="112" t="str">
        <f t="shared" si="189"/>
        <v/>
      </c>
      <c r="AC722" s="112" t="str">
        <f t="shared" si="190"/>
        <v/>
      </c>
      <c r="AD722" s="112" t="str">
        <f t="shared" si="191"/>
        <v/>
      </c>
    </row>
    <row r="723" spans="1:30" x14ac:dyDescent="0.2">
      <c r="A723" s="112" t="str">
        <f>IF(SUM(Q723:R723)=1,1+MAX($A$1:A722),"")</f>
        <v/>
      </c>
      <c r="B723" s="112" t="str">
        <f>IF(SUM(X723:Y723)=1,1+MAX($B$1:B722),"")</f>
        <v/>
      </c>
      <c r="C723" s="112" t="str">
        <f>IF(SUM(Q723:R723,X723:Y723)=2,1+MAX($C$1:C722),"")</f>
        <v/>
      </c>
      <c r="D723" s="113">
        <v>22803</v>
      </c>
      <c r="E723" s="112">
        <v>1962</v>
      </c>
      <c r="F723" s="112" t="s">
        <v>3035</v>
      </c>
      <c r="G723" s="112">
        <v>1</v>
      </c>
      <c r="H723" s="114" t="s">
        <v>2720</v>
      </c>
      <c r="I723" s="112">
        <f t="shared" si="180"/>
        <v>2</v>
      </c>
      <c r="J723" s="112">
        <f t="shared" si="181"/>
        <v>1</v>
      </c>
      <c r="K723" s="115" t="s">
        <v>2540</v>
      </c>
      <c r="L723" s="115" t="s">
        <v>3151</v>
      </c>
      <c r="M723" s="115" t="s">
        <v>3158</v>
      </c>
      <c r="N723" s="115">
        <v>9973</v>
      </c>
      <c r="O723" s="112">
        <v>3</v>
      </c>
      <c r="P723" s="116" t="s">
        <v>2626</v>
      </c>
      <c r="Q723" s="112" t="str">
        <f t="shared" si="176"/>
        <v/>
      </c>
      <c r="R723" s="112" t="str">
        <f t="shared" si="177"/>
        <v/>
      </c>
      <c r="S723" s="112" t="str">
        <f t="shared" si="182"/>
        <v/>
      </c>
      <c r="T723" s="112" t="str">
        <f t="shared" si="183"/>
        <v/>
      </c>
      <c r="U723" s="112" t="str">
        <f t="shared" si="184"/>
        <v/>
      </c>
      <c r="V723" s="112" t="str">
        <f t="shared" si="185"/>
        <v/>
      </c>
      <c r="W723" s="112" t="str">
        <f t="shared" si="186"/>
        <v/>
      </c>
      <c r="X723" s="112" t="str">
        <f t="shared" si="178"/>
        <v/>
      </c>
      <c r="Y723" s="112" t="str">
        <f t="shared" si="179"/>
        <v/>
      </c>
      <c r="Z723" s="112" t="str">
        <f t="shared" si="187"/>
        <v/>
      </c>
      <c r="AA723" s="112" t="str">
        <f t="shared" si="188"/>
        <v/>
      </c>
      <c r="AB723" s="112" t="str">
        <f t="shared" si="189"/>
        <v/>
      </c>
      <c r="AC723" s="112" t="str">
        <f t="shared" si="190"/>
        <v/>
      </c>
      <c r="AD723" s="112" t="str">
        <f t="shared" si="191"/>
        <v/>
      </c>
    </row>
    <row r="724" spans="1:30" x14ac:dyDescent="0.2">
      <c r="A724" s="112" t="str">
        <f>IF(SUM(Q724:R724)=1,1+MAX($A$1:A723),"")</f>
        <v/>
      </c>
      <c r="B724" s="112" t="str">
        <f>IF(SUM(X724:Y724)=1,1+MAX($B$1:B723),"")</f>
        <v/>
      </c>
      <c r="C724" s="112" t="str">
        <f>IF(SUM(Q724:R724,X724:Y724)=2,1+MAX($C$1:C723),"")</f>
        <v/>
      </c>
      <c r="D724" s="113">
        <v>22800</v>
      </c>
      <c r="E724" s="112">
        <v>1962</v>
      </c>
      <c r="F724" s="112" t="s">
        <v>3020</v>
      </c>
      <c r="G724" s="112">
        <v>4</v>
      </c>
      <c r="H724" s="114" t="s">
        <v>2631</v>
      </c>
      <c r="I724" s="112">
        <f t="shared" si="180"/>
        <v>1</v>
      </c>
      <c r="J724" s="112">
        <f t="shared" si="181"/>
        <v>6</v>
      </c>
      <c r="K724" s="115" t="s">
        <v>2725</v>
      </c>
      <c r="L724" s="115" t="s">
        <v>3150</v>
      </c>
      <c r="M724" s="115" t="s">
        <v>3128</v>
      </c>
      <c r="N724" s="115">
        <v>7442</v>
      </c>
      <c r="O724" s="112">
        <v>2</v>
      </c>
      <c r="P724" s="116" t="s">
        <v>2873</v>
      </c>
      <c r="Q724" s="112" t="str">
        <f t="shared" si="176"/>
        <v/>
      </c>
      <c r="R724" s="112" t="str">
        <f t="shared" si="177"/>
        <v/>
      </c>
      <c r="S724" s="112" t="str">
        <f t="shared" si="182"/>
        <v/>
      </c>
      <c r="T724" s="112" t="str">
        <f t="shared" si="183"/>
        <v/>
      </c>
      <c r="U724" s="112" t="str">
        <f t="shared" si="184"/>
        <v/>
      </c>
      <c r="V724" s="112" t="str">
        <f t="shared" si="185"/>
        <v/>
      </c>
      <c r="W724" s="112" t="str">
        <f t="shared" si="186"/>
        <v/>
      </c>
      <c r="X724" s="112" t="str">
        <f t="shared" si="178"/>
        <v/>
      </c>
      <c r="Y724" s="112" t="str">
        <f t="shared" si="179"/>
        <v/>
      </c>
      <c r="Z724" s="112" t="str">
        <f t="shared" si="187"/>
        <v/>
      </c>
      <c r="AA724" s="112" t="str">
        <f t="shared" si="188"/>
        <v/>
      </c>
      <c r="AB724" s="112" t="str">
        <f t="shared" si="189"/>
        <v/>
      </c>
      <c r="AC724" s="112" t="str">
        <f t="shared" si="190"/>
        <v/>
      </c>
      <c r="AD724" s="112" t="str">
        <f t="shared" si="191"/>
        <v/>
      </c>
    </row>
    <row r="725" spans="1:30" x14ac:dyDescent="0.2">
      <c r="A725" s="112" t="str">
        <f>IF(SUM(Q725:R725)=1,1+MAX($A$1:A724),"")</f>
        <v/>
      </c>
      <c r="B725" s="112" t="str">
        <f>IF(SUM(X725:Y725)=1,1+MAX($B$1:B724),"")</f>
        <v/>
      </c>
      <c r="C725" s="112" t="str">
        <f>IF(SUM(Q725:R725,X725:Y725)=2,1+MAX($C$1:C724),"")</f>
        <v/>
      </c>
      <c r="D725" s="113">
        <v>22800</v>
      </c>
      <c r="E725" s="112">
        <v>1962</v>
      </c>
      <c r="F725" s="112" t="s">
        <v>3033</v>
      </c>
      <c r="G725" s="112">
        <v>3</v>
      </c>
      <c r="H725" s="114" t="s">
        <v>1061</v>
      </c>
      <c r="I725" s="112">
        <f t="shared" si="180"/>
        <v>0</v>
      </c>
      <c r="J725" s="112">
        <f t="shared" si="181"/>
        <v>1</v>
      </c>
      <c r="K725" s="115" t="s">
        <v>2557</v>
      </c>
      <c r="L725" s="115" t="s">
        <v>3149</v>
      </c>
      <c r="M725" s="115" t="s">
        <v>3159</v>
      </c>
      <c r="N725" s="115">
        <v>11875</v>
      </c>
      <c r="O725" s="112">
        <v>2</v>
      </c>
      <c r="P725" s="116" t="s">
        <v>2601</v>
      </c>
      <c r="Q725" s="112" t="str">
        <f t="shared" si="176"/>
        <v/>
      </c>
      <c r="R725" s="112" t="str">
        <f t="shared" si="177"/>
        <v/>
      </c>
      <c r="S725" s="112" t="str">
        <f t="shared" si="182"/>
        <v/>
      </c>
      <c r="T725" s="112" t="str">
        <f t="shared" si="183"/>
        <v/>
      </c>
      <c r="U725" s="112" t="str">
        <f t="shared" si="184"/>
        <v/>
      </c>
      <c r="V725" s="112" t="str">
        <f t="shared" si="185"/>
        <v/>
      </c>
      <c r="W725" s="112" t="str">
        <f t="shared" si="186"/>
        <v/>
      </c>
      <c r="X725" s="112" t="str">
        <f t="shared" si="178"/>
        <v/>
      </c>
      <c r="Y725" s="112" t="str">
        <f t="shared" si="179"/>
        <v/>
      </c>
      <c r="Z725" s="112" t="str">
        <f t="shared" si="187"/>
        <v/>
      </c>
      <c r="AA725" s="112" t="str">
        <f t="shared" si="188"/>
        <v/>
      </c>
      <c r="AB725" s="112" t="str">
        <f t="shared" si="189"/>
        <v/>
      </c>
      <c r="AC725" s="112" t="str">
        <f t="shared" si="190"/>
        <v/>
      </c>
      <c r="AD725" s="112" t="str">
        <f t="shared" si="191"/>
        <v/>
      </c>
    </row>
    <row r="726" spans="1:30" x14ac:dyDescent="0.2">
      <c r="A726" s="112" t="str">
        <f>IF(SUM(Q726:R726)=1,1+MAX($A$1:A725),"")</f>
        <v/>
      </c>
      <c r="B726" s="112" t="str">
        <f>IF(SUM(X726:Y726)=1,1+MAX($B$1:B725),"")</f>
        <v/>
      </c>
      <c r="C726" s="112" t="str">
        <f>IF(SUM(Q726:R726,X726:Y726)=2,1+MAX($C$1:C725),"")</f>
        <v/>
      </c>
      <c r="D726" s="113">
        <v>22800</v>
      </c>
      <c r="E726" s="112">
        <v>1962</v>
      </c>
      <c r="F726" s="112" t="s">
        <v>3024</v>
      </c>
      <c r="G726" s="112">
        <v>2</v>
      </c>
      <c r="H726" s="114" t="s">
        <v>2547</v>
      </c>
      <c r="I726" s="112">
        <f t="shared" si="180"/>
        <v>2</v>
      </c>
      <c r="J726" s="112">
        <f t="shared" si="181"/>
        <v>1</v>
      </c>
      <c r="K726" s="115" t="s">
        <v>2558</v>
      </c>
      <c r="L726" s="115" t="s">
        <v>3147</v>
      </c>
      <c r="M726" s="115" t="s">
        <v>3152</v>
      </c>
      <c r="N726" s="115">
        <v>64922</v>
      </c>
      <c r="O726" s="112">
        <v>2</v>
      </c>
      <c r="P726" s="116" t="s">
        <v>2626</v>
      </c>
      <c r="Q726" s="112" t="str">
        <f t="shared" si="176"/>
        <v/>
      </c>
      <c r="R726" s="112" t="str">
        <f t="shared" si="177"/>
        <v/>
      </c>
      <c r="S726" s="112" t="str">
        <f t="shared" si="182"/>
        <v/>
      </c>
      <c r="T726" s="112" t="str">
        <f t="shared" si="183"/>
        <v/>
      </c>
      <c r="U726" s="112" t="str">
        <f t="shared" si="184"/>
        <v/>
      </c>
      <c r="V726" s="112" t="str">
        <f t="shared" si="185"/>
        <v/>
      </c>
      <c r="W726" s="112" t="str">
        <f t="shared" si="186"/>
        <v/>
      </c>
      <c r="X726" s="112" t="str">
        <f t="shared" si="178"/>
        <v/>
      </c>
      <c r="Y726" s="112" t="str">
        <f t="shared" si="179"/>
        <v/>
      </c>
      <c r="Z726" s="112" t="str">
        <f t="shared" si="187"/>
        <v/>
      </c>
      <c r="AA726" s="112" t="str">
        <f t="shared" si="188"/>
        <v/>
      </c>
      <c r="AB726" s="112" t="str">
        <f t="shared" si="189"/>
        <v/>
      </c>
      <c r="AC726" s="112" t="str">
        <f t="shared" si="190"/>
        <v/>
      </c>
      <c r="AD726" s="112" t="str">
        <f t="shared" si="191"/>
        <v/>
      </c>
    </row>
    <row r="727" spans="1:30" x14ac:dyDescent="0.2">
      <c r="A727" s="112" t="str">
        <f>IF(SUM(Q727:R727)=1,1+MAX($A$1:A726),"")</f>
        <v/>
      </c>
      <c r="B727" s="112" t="str">
        <f>IF(SUM(X727:Y727)=1,1+MAX($B$1:B726),"")</f>
        <v/>
      </c>
      <c r="C727" s="112" t="str">
        <f>IF(SUM(Q727:R727,X727:Y727)=2,1+MAX($C$1:C726),"")</f>
        <v/>
      </c>
      <c r="D727" s="113">
        <v>22800</v>
      </c>
      <c r="E727" s="112">
        <v>1962</v>
      </c>
      <c r="F727" s="112" t="s">
        <v>3035</v>
      </c>
      <c r="G727" s="112">
        <v>1</v>
      </c>
      <c r="H727" s="114" t="s">
        <v>1347</v>
      </c>
      <c r="I727" s="112">
        <f t="shared" si="180"/>
        <v>4</v>
      </c>
      <c r="J727" s="112">
        <f t="shared" si="181"/>
        <v>4</v>
      </c>
      <c r="K727" s="115" t="s">
        <v>2720</v>
      </c>
      <c r="L727" s="115" t="s">
        <v>3151</v>
      </c>
      <c r="M727" s="115" t="s">
        <v>3160</v>
      </c>
      <c r="N727" s="115">
        <v>8040</v>
      </c>
      <c r="O727" s="112">
        <v>2</v>
      </c>
      <c r="P727" s="116" t="s">
        <v>3161</v>
      </c>
      <c r="Q727" s="112" t="str">
        <f t="shared" si="176"/>
        <v/>
      </c>
      <c r="R727" s="112" t="str">
        <f t="shared" si="177"/>
        <v/>
      </c>
      <c r="S727" s="112" t="str">
        <f t="shared" si="182"/>
        <v/>
      </c>
      <c r="T727" s="112" t="str">
        <f t="shared" si="183"/>
        <v/>
      </c>
      <c r="U727" s="112" t="str">
        <f t="shared" si="184"/>
        <v/>
      </c>
      <c r="V727" s="112" t="str">
        <f t="shared" si="185"/>
        <v/>
      </c>
      <c r="W727" s="112" t="str">
        <f t="shared" si="186"/>
        <v/>
      </c>
      <c r="X727" s="112" t="str">
        <f t="shared" si="178"/>
        <v/>
      </c>
      <c r="Y727" s="112" t="str">
        <f t="shared" si="179"/>
        <v/>
      </c>
      <c r="Z727" s="112" t="str">
        <f t="shared" si="187"/>
        <v/>
      </c>
      <c r="AA727" s="112" t="str">
        <f t="shared" si="188"/>
        <v/>
      </c>
      <c r="AB727" s="112" t="str">
        <f t="shared" si="189"/>
        <v/>
      </c>
      <c r="AC727" s="112" t="str">
        <f t="shared" si="190"/>
        <v/>
      </c>
      <c r="AD727" s="112" t="str">
        <f t="shared" si="191"/>
        <v/>
      </c>
    </row>
    <row r="728" spans="1:30" x14ac:dyDescent="0.2">
      <c r="A728" s="112">
        <f>IF(SUM(Q728:R728)=1,1+MAX($A$1:A727),"")</f>
        <v>51</v>
      </c>
      <c r="B728" s="112">
        <f>IF(SUM(X728:Y728)=1,1+MAX($B$1:B727),"")</f>
        <v>73</v>
      </c>
      <c r="C728" s="112">
        <f>IF(SUM(Q728:R728,X728:Y728)=2,1+MAX($C$1:C727),"")</f>
        <v>5</v>
      </c>
      <c r="D728" s="113">
        <v>22799</v>
      </c>
      <c r="E728" s="112">
        <v>1962</v>
      </c>
      <c r="F728" s="112" t="s">
        <v>3020</v>
      </c>
      <c r="G728" s="112">
        <v>4</v>
      </c>
      <c r="H728" s="114" t="s">
        <v>1134</v>
      </c>
      <c r="I728" s="112">
        <f t="shared" si="180"/>
        <v>1</v>
      </c>
      <c r="J728" s="112">
        <f t="shared" si="181"/>
        <v>3</v>
      </c>
      <c r="K728" s="115" t="s">
        <v>2545</v>
      </c>
      <c r="L728" s="115" t="s">
        <v>3150</v>
      </c>
      <c r="M728" s="115" t="s">
        <v>3148</v>
      </c>
      <c r="N728" s="115">
        <v>9794</v>
      </c>
      <c r="O728" s="112">
        <v>2</v>
      </c>
      <c r="P728" s="116" t="s">
        <v>2691</v>
      </c>
      <c r="Q728" s="112" t="str">
        <f t="shared" si="176"/>
        <v/>
      </c>
      <c r="R728" s="112">
        <f t="shared" si="177"/>
        <v>1</v>
      </c>
      <c r="S728" s="112">
        <f t="shared" si="182"/>
        <v>1</v>
      </c>
      <c r="T728" s="112">
        <f t="shared" si="183"/>
        <v>0</v>
      </c>
      <c r="U728" s="112">
        <f t="shared" si="184"/>
        <v>0</v>
      </c>
      <c r="V728" s="112">
        <f t="shared" si="185"/>
        <v>4</v>
      </c>
      <c r="W728" s="112">
        <f t="shared" si="186"/>
        <v>2</v>
      </c>
      <c r="X728" s="112">
        <f t="shared" si="178"/>
        <v>1</v>
      </c>
      <c r="Y728" s="112" t="str">
        <f t="shared" si="179"/>
        <v/>
      </c>
      <c r="Z728" s="112">
        <f t="shared" si="187"/>
        <v>0</v>
      </c>
      <c r="AA728" s="112">
        <f t="shared" si="188"/>
        <v>0</v>
      </c>
      <c r="AB728" s="112">
        <f t="shared" si="189"/>
        <v>1</v>
      </c>
      <c r="AC728" s="112">
        <f t="shared" si="190"/>
        <v>4</v>
      </c>
      <c r="AD728" s="112">
        <f t="shared" si="191"/>
        <v>-2</v>
      </c>
    </row>
    <row r="729" spans="1:30" x14ac:dyDescent="0.2">
      <c r="A729" s="112" t="str">
        <f>IF(SUM(Q729:R729)=1,1+MAX($A$1:A728),"")</f>
        <v/>
      </c>
      <c r="B729" s="112" t="str">
        <f>IF(SUM(X729:Y729)=1,1+MAX($B$1:B728),"")</f>
        <v/>
      </c>
      <c r="C729" s="112" t="str">
        <f>IF(SUM(Q729:R729,X729:Y729)=2,1+MAX($C$1:C728),"")</f>
        <v/>
      </c>
      <c r="D729" s="113">
        <v>22799</v>
      </c>
      <c r="E729" s="112">
        <v>1962</v>
      </c>
      <c r="F729" s="112" t="s">
        <v>3033</v>
      </c>
      <c r="G729" s="112">
        <v>3</v>
      </c>
      <c r="H729" s="114" t="s">
        <v>1442</v>
      </c>
      <c r="I729" s="112">
        <f t="shared" si="180"/>
        <v>0</v>
      </c>
      <c r="J729" s="112">
        <f t="shared" si="181"/>
        <v>0</v>
      </c>
      <c r="K729" s="115" t="s">
        <v>2648</v>
      </c>
      <c r="L729" s="115" t="s">
        <v>3149</v>
      </c>
      <c r="M729" s="115" t="s">
        <v>3119</v>
      </c>
      <c r="N729" s="115">
        <v>14903</v>
      </c>
      <c r="O729" s="112">
        <v>2</v>
      </c>
      <c r="P729" s="116" t="s">
        <v>2613</v>
      </c>
      <c r="Q729" s="112" t="str">
        <f t="shared" si="176"/>
        <v/>
      </c>
      <c r="R729" s="112" t="str">
        <f t="shared" si="177"/>
        <v/>
      </c>
      <c r="S729" s="112" t="str">
        <f t="shared" si="182"/>
        <v/>
      </c>
      <c r="T729" s="112" t="str">
        <f t="shared" si="183"/>
        <v/>
      </c>
      <c r="U729" s="112" t="str">
        <f t="shared" si="184"/>
        <v/>
      </c>
      <c r="V729" s="112" t="str">
        <f t="shared" si="185"/>
        <v/>
      </c>
      <c r="W729" s="112" t="str">
        <f t="shared" si="186"/>
        <v/>
      </c>
      <c r="X729" s="112" t="str">
        <f t="shared" si="178"/>
        <v/>
      </c>
      <c r="Y729" s="112" t="str">
        <f t="shared" si="179"/>
        <v/>
      </c>
      <c r="Z729" s="112" t="str">
        <f t="shared" si="187"/>
        <v/>
      </c>
      <c r="AA729" s="112" t="str">
        <f t="shared" si="188"/>
        <v/>
      </c>
      <c r="AB729" s="112" t="str">
        <f t="shared" si="189"/>
        <v/>
      </c>
      <c r="AC729" s="112" t="str">
        <f t="shared" si="190"/>
        <v/>
      </c>
      <c r="AD729" s="112" t="str">
        <f t="shared" si="191"/>
        <v/>
      </c>
    </row>
    <row r="730" spans="1:30" x14ac:dyDescent="0.2">
      <c r="A730" s="112" t="str">
        <f>IF(SUM(Q730:R730)=1,1+MAX($A$1:A729),"")</f>
        <v/>
      </c>
      <c r="B730" s="112" t="str">
        <f>IF(SUM(X730:Y730)=1,1+MAX($B$1:B729),"")</f>
        <v/>
      </c>
      <c r="C730" s="112" t="str">
        <f>IF(SUM(Q730:R730,X730:Y730)=2,1+MAX($C$1:C729),"")</f>
        <v/>
      </c>
      <c r="D730" s="113">
        <v>22799</v>
      </c>
      <c r="E730" s="112">
        <v>1962</v>
      </c>
      <c r="F730" s="112" t="s">
        <v>3024</v>
      </c>
      <c r="G730" s="112">
        <v>2</v>
      </c>
      <c r="H730" s="114" t="s">
        <v>2650</v>
      </c>
      <c r="I730" s="112">
        <f t="shared" si="180"/>
        <v>2</v>
      </c>
      <c r="J730" s="112">
        <f t="shared" si="181"/>
        <v>0</v>
      </c>
      <c r="K730" s="115" t="s">
        <v>2674</v>
      </c>
      <c r="L730" s="115" t="s">
        <v>3147</v>
      </c>
      <c r="M730" s="115" t="s">
        <v>3162</v>
      </c>
      <c r="N730" s="115">
        <v>66057</v>
      </c>
      <c r="O730" s="112">
        <v>2</v>
      </c>
      <c r="P730" s="116" t="s">
        <v>2641</v>
      </c>
      <c r="Q730" s="112" t="str">
        <f t="shared" si="176"/>
        <v/>
      </c>
      <c r="R730" s="112" t="str">
        <f t="shared" si="177"/>
        <v/>
      </c>
      <c r="S730" s="112" t="str">
        <f t="shared" si="182"/>
        <v/>
      </c>
      <c r="T730" s="112" t="str">
        <f t="shared" si="183"/>
        <v/>
      </c>
      <c r="U730" s="112" t="str">
        <f t="shared" si="184"/>
        <v/>
      </c>
      <c r="V730" s="112" t="str">
        <f t="shared" si="185"/>
        <v/>
      </c>
      <c r="W730" s="112" t="str">
        <f t="shared" si="186"/>
        <v/>
      </c>
      <c r="X730" s="112" t="str">
        <f t="shared" si="178"/>
        <v/>
      </c>
      <c r="Y730" s="112" t="str">
        <f t="shared" si="179"/>
        <v/>
      </c>
      <c r="Z730" s="112" t="str">
        <f t="shared" si="187"/>
        <v/>
      </c>
      <c r="AA730" s="112" t="str">
        <f t="shared" si="188"/>
        <v/>
      </c>
      <c r="AB730" s="112" t="str">
        <f t="shared" si="189"/>
        <v/>
      </c>
      <c r="AC730" s="112" t="str">
        <f t="shared" si="190"/>
        <v/>
      </c>
      <c r="AD730" s="112" t="str">
        <f t="shared" si="191"/>
        <v/>
      </c>
    </row>
    <row r="731" spans="1:30" x14ac:dyDescent="0.2">
      <c r="A731" s="112" t="str">
        <f>IF(SUM(Q731:R731)=1,1+MAX($A$1:A730),"")</f>
        <v/>
      </c>
      <c r="B731" s="112" t="str">
        <f>IF(SUM(X731:Y731)=1,1+MAX($B$1:B730),"")</f>
        <v/>
      </c>
      <c r="C731" s="112" t="str">
        <f>IF(SUM(Q731:R731,X731:Y731)=2,1+MAX($C$1:C730),"")</f>
        <v/>
      </c>
      <c r="D731" s="113">
        <v>22799</v>
      </c>
      <c r="E731" s="112">
        <v>1962</v>
      </c>
      <c r="F731" s="112" t="s">
        <v>3035</v>
      </c>
      <c r="G731" s="112">
        <v>1</v>
      </c>
      <c r="H731" s="114" t="s">
        <v>2540</v>
      </c>
      <c r="I731" s="112">
        <f t="shared" si="180"/>
        <v>1</v>
      </c>
      <c r="J731" s="112">
        <f t="shared" si="181"/>
        <v>3</v>
      </c>
      <c r="K731" s="115" t="s">
        <v>2862</v>
      </c>
      <c r="L731" s="115" t="s">
        <v>3151</v>
      </c>
      <c r="M731" s="115" t="s">
        <v>3142</v>
      </c>
      <c r="N731" s="115">
        <v>8829</v>
      </c>
      <c r="O731" s="112">
        <v>3</v>
      </c>
      <c r="P731" s="116" t="s">
        <v>2691</v>
      </c>
      <c r="Q731" s="112" t="str">
        <f t="shared" si="176"/>
        <v/>
      </c>
      <c r="R731" s="112" t="str">
        <f t="shared" si="177"/>
        <v/>
      </c>
      <c r="S731" s="112" t="str">
        <f t="shared" si="182"/>
        <v/>
      </c>
      <c r="T731" s="112" t="str">
        <f t="shared" si="183"/>
        <v/>
      </c>
      <c r="U731" s="112" t="str">
        <f t="shared" si="184"/>
        <v/>
      </c>
      <c r="V731" s="112" t="str">
        <f t="shared" si="185"/>
        <v/>
      </c>
      <c r="W731" s="112" t="str">
        <f t="shared" si="186"/>
        <v/>
      </c>
      <c r="X731" s="112" t="str">
        <f t="shared" si="178"/>
        <v/>
      </c>
      <c r="Y731" s="112" t="str">
        <f t="shared" si="179"/>
        <v/>
      </c>
      <c r="Z731" s="112" t="str">
        <f t="shared" si="187"/>
        <v/>
      </c>
      <c r="AA731" s="112" t="str">
        <f t="shared" si="188"/>
        <v/>
      </c>
      <c r="AB731" s="112" t="str">
        <f t="shared" si="189"/>
        <v/>
      </c>
      <c r="AC731" s="112" t="str">
        <f t="shared" si="190"/>
        <v/>
      </c>
      <c r="AD731" s="112" t="str">
        <f t="shared" si="191"/>
        <v/>
      </c>
    </row>
    <row r="732" spans="1:30" x14ac:dyDescent="0.2">
      <c r="A732" s="112">
        <f>IF(SUM(Q732:R732)=1,1+MAX($A$1:A731),"")</f>
        <v>52</v>
      </c>
      <c r="B732" s="112" t="str">
        <f>IF(SUM(X732:Y732)=1,1+MAX($B$1:B731),"")</f>
        <v/>
      </c>
      <c r="C732" s="112" t="str">
        <f>IF(SUM(Q732:R732,X732:Y732)=2,1+MAX($C$1:C731),"")</f>
        <v/>
      </c>
      <c r="D732" s="113">
        <v>22797</v>
      </c>
      <c r="E732" s="112">
        <v>1962</v>
      </c>
      <c r="F732" s="112" t="s">
        <v>3020</v>
      </c>
      <c r="G732" s="112">
        <v>4</v>
      </c>
      <c r="H732" s="114" t="s">
        <v>2545</v>
      </c>
      <c r="I732" s="112">
        <f t="shared" si="180"/>
        <v>1</v>
      </c>
      <c r="J732" s="112">
        <f t="shared" si="181"/>
        <v>2</v>
      </c>
      <c r="K732" s="115" t="s">
        <v>2725</v>
      </c>
      <c r="L732" s="115" t="s">
        <v>3150</v>
      </c>
      <c r="M732" s="115" t="s">
        <v>3152</v>
      </c>
      <c r="N732" s="115">
        <v>7938</v>
      </c>
      <c r="O732" s="112">
        <v>2</v>
      </c>
      <c r="P732" s="116" t="s">
        <v>2638</v>
      </c>
      <c r="Q732" s="112">
        <f t="shared" si="176"/>
        <v>1</v>
      </c>
      <c r="R732" s="112" t="str">
        <f t="shared" si="177"/>
        <v/>
      </c>
      <c r="S732" s="112">
        <f t="shared" si="182"/>
        <v>0</v>
      </c>
      <c r="T732" s="112">
        <f t="shared" si="183"/>
        <v>0</v>
      </c>
      <c r="U732" s="112">
        <f t="shared" si="184"/>
        <v>1</v>
      </c>
      <c r="V732" s="112">
        <f t="shared" si="185"/>
        <v>3</v>
      </c>
      <c r="W732" s="112">
        <f t="shared" si="186"/>
        <v>-1</v>
      </c>
      <c r="X732" s="112" t="str">
        <f t="shared" si="178"/>
        <v/>
      </c>
      <c r="Y732" s="112" t="str">
        <f t="shared" si="179"/>
        <v/>
      </c>
      <c r="Z732" s="112" t="str">
        <f t="shared" si="187"/>
        <v/>
      </c>
      <c r="AA732" s="112" t="str">
        <f t="shared" si="188"/>
        <v/>
      </c>
      <c r="AB732" s="112" t="str">
        <f t="shared" si="189"/>
        <v/>
      </c>
      <c r="AC732" s="112" t="str">
        <f t="shared" si="190"/>
        <v/>
      </c>
      <c r="AD732" s="112" t="str">
        <f t="shared" si="191"/>
        <v/>
      </c>
    </row>
    <row r="733" spans="1:30" x14ac:dyDescent="0.2">
      <c r="A733" s="112" t="str">
        <f>IF(SUM(Q733:R733)=1,1+MAX($A$1:A732),"")</f>
        <v/>
      </c>
      <c r="B733" s="112" t="str">
        <f>IF(SUM(X733:Y733)=1,1+MAX($B$1:B732),"")</f>
        <v/>
      </c>
      <c r="C733" s="112" t="str">
        <f>IF(SUM(Q733:R733,X733:Y733)=2,1+MAX($C$1:C732),"")</f>
        <v/>
      </c>
      <c r="D733" s="113">
        <v>22797</v>
      </c>
      <c r="E733" s="112">
        <v>1962</v>
      </c>
      <c r="F733" s="112" t="s">
        <v>3033</v>
      </c>
      <c r="G733" s="112">
        <v>3</v>
      </c>
      <c r="H733" s="114" t="s">
        <v>2648</v>
      </c>
      <c r="I733" s="112">
        <f t="shared" si="180"/>
        <v>1</v>
      </c>
      <c r="J733" s="112">
        <f t="shared" si="181"/>
        <v>0</v>
      </c>
      <c r="K733" s="115" t="s">
        <v>2557</v>
      </c>
      <c r="L733" s="115" t="s">
        <v>3149</v>
      </c>
      <c r="M733" s="115" t="s">
        <v>3163</v>
      </c>
      <c r="N733" s="115">
        <v>12700</v>
      </c>
      <c r="O733" s="112">
        <v>2</v>
      </c>
      <c r="P733" s="116" t="s">
        <v>2622</v>
      </c>
      <c r="Q733" s="112" t="str">
        <f t="shared" si="176"/>
        <v/>
      </c>
      <c r="R733" s="112" t="str">
        <f t="shared" si="177"/>
        <v/>
      </c>
      <c r="S733" s="112" t="str">
        <f t="shared" si="182"/>
        <v/>
      </c>
      <c r="T733" s="112" t="str">
        <f t="shared" si="183"/>
        <v/>
      </c>
      <c r="U733" s="112" t="str">
        <f t="shared" si="184"/>
        <v/>
      </c>
      <c r="V733" s="112" t="str">
        <f t="shared" si="185"/>
        <v/>
      </c>
      <c r="W733" s="112" t="str">
        <f t="shared" si="186"/>
        <v/>
      </c>
      <c r="X733" s="112" t="str">
        <f t="shared" si="178"/>
        <v/>
      </c>
      <c r="Y733" s="112" t="str">
        <f t="shared" si="179"/>
        <v/>
      </c>
      <c r="Z733" s="112" t="str">
        <f t="shared" si="187"/>
        <v/>
      </c>
      <c r="AA733" s="112" t="str">
        <f t="shared" si="188"/>
        <v/>
      </c>
      <c r="AB733" s="112" t="str">
        <f t="shared" si="189"/>
        <v/>
      </c>
      <c r="AC733" s="112" t="str">
        <f t="shared" si="190"/>
        <v/>
      </c>
      <c r="AD733" s="112" t="str">
        <f t="shared" si="191"/>
        <v/>
      </c>
    </row>
    <row r="734" spans="1:30" x14ac:dyDescent="0.2">
      <c r="A734" s="112" t="str">
        <f>IF(SUM(Q734:R734)=1,1+MAX($A$1:A733),"")</f>
        <v/>
      </c>
      <c r="B734" s="112" t="str">
        <f>IF(SUM(X734:Y734)=1,1+MAX($B$1:B733),"")</f>
        <v/>
      </c>
      <c r="C734" s="112" t="str">
        <f>IF(SUM(Q734:R734,X734:Y734)=2,1+MAX($C$1:C733),"")</f>
        <v/>
      </c>
      <c r="D734" s="113">
        <v>22797</v>
      </c>
      <c r="E734" s="112">
        <v>1962</v>
      </c>
      <c r="F734" s="112" t="s">
        <v>3024</v>
      </c>
      <c r="G734" s="112">
        <v>2</v>
      </c>
      <c r="H734" s="114" t="s">
        <v>2547</v>
      </c>
      <c r="I734" s="112">
        <f t="shared" si="180"/>
        <v>0</v>
      </c>
      <c r="J734" s="112">
        <f t="shared" si="181"/>
        <v>0</v>
      </c>
      <c r="K734" s="115" t="s">
        <v>2674</v>
      </c>
      <c r="L734" s="115" t="s">
        <v>3147</v>
      </c>
      <c r="M734" s="115" t="s">
        <v>3157</v>
      </c>
      <c r="N734" s="115">
        <v>65440</v>
      </c>
      <c r="O734" s="112">
        <v>2</v>
      </c>
      <c r="P734" s="116" t="s">
        <v>2613</v>
      </c>
      <c r="Q734" s="112" t="str">
        <f t="shared" si="176"/>
        <v/>
      </c>
      <c r="R734" s="112" t="str">
        <f t="shared" si="177"/>
        <v/>
      </c>
      <c r="S734" s="112" t="str">
        <f t="shared" si="182"/>
        <v/>
      </c>
      <c r="T734" s="112" t="str">
        <f t="shared" si="183"/>
        <v/>
      </c>
      <c r="U734" s="112" t="str">
        <f t="shared" si="184"/>
        <v/>
      </c>
      <c r="V734" s="112" t="str">
        <f t="shared" si="185"/>
        <v/>
      </c>
      <c r="W734" s="112" t="str">
        <f t="shared" si="186"/>
        <v/>
      </c>
      <c r="X734" s="112" t="str">
        <f t="shared" si="178"/>
        <v/>
      </c>
      <c r="Y734" s="112" t="str">
        <f t="shared" si="179"/>
        <v/>
      </c>
      <c r="Z734" s="112" t="str">
        <f t="shared" si="187"/>
        <v/>
      </c>
      <c r="AA734" s="112" t="str">
        <f t="shared" si="188"/>
        <v/>
      </c>
      <c r="AB734" s="112" t="str">
        <f t="shared" si="189"/>
        <v/>
      </c>
      <c r="AC734" s="112" t="str">
        <f t="shared" si="190"/>
        <v/>
      </c>
      <c r="AD734" s="112" t="str">
        <f t="shared" si="191"/>
        <v/>
      </c>
    </row>
    <row r="735" spans="1:30" x14ac:dyDescent="0.2">
      <c r="A735" s="112" t="str">
        <f>IF(SUM(Q735:R735)=1,1+MAX($A$1:A734),"")</f>
        <v/>
      </c>
      <c r="B735" s="112" t="str">
        <f>IF(SUM(X735:Y735)=1,1+MAX($B$1:B734),"")</f>
        <v/>
      </c>
      <c r="C735" s="112" t="str">
        <f>IF(SUM(Q735:R735,X735:Y735)=2,1+MAX($C$1:C734),"")</f>
        <v/>
      </c>
      <c r="D735" s="113">
        <v>22797</v>
      </c>
      <c r="E735" s="112">
        <v>1962</v>
      </c>
      <c r="F735" s="112" t="s">
        <v>3035</v>
      </c>
      <c r="G735" s="112">
        <v>1</v>
      </c>
      <c r="H735" s="114" t="s">
        <v>2720</v>
      </c>
      <c r="I735" s="112">
        <f t="shared" si="180"/>
        <v>2</v>
      </c>
      <c r="J735" s="112">
        <f t="shared" si="181"/>
        <v>0</v>
      </c>
      <c r="K735" s="115" t="s">
        <v>2862</v>
      </c>
      <c r="L735" s="115" t="s">
        <v>3151</v>
      </c>
      <c r="M735" s="115" t="s">
        <v>3164</v>
      </c>
      <c r="N735" s="115">
        <v>15000</v>
      </c>
      <c r="O735" s="112">
        <v>2</v>
      </c>
      <c r="P735" s="116" t="s">
        <v>2641</v>
      </c>
      <c r="Q735" s="112" t="str">
        <f t="shared" si="176"/>
        <v/>
      </c>
      <c r="R735" s="112" t="str">
        <f t="shared" si="177"/>
        <v/>
      </c>
      <c r="S735" s="112" t="str">
        <f t="shared" si="182"/>
        <v/>
      </c>
      <c r="T735" s="112" t="str">
        <f t="shared" si="183"/>
        <v/>
      </c>
      <c r="U735" s="112" t="str">
        <f t="shared" si="184"/>
        <v/>
      </c>
      <c r="V735" s="112" t="str">
        <f t="shared" si="185"/>
        <v/>
      </c>
      <c r="W735" s="112" t="str">
        <f t="shared" si="186"/>
        <v/>
      </c>
      <c r="X735" s="112" t="str">
        <f t="shared" si="178"/>
        <v/>
      </c>
      <c r="Y735" s="112" t="str">
        <f t="shared" si="179"/>
        <v/>
      </c>
      <c r="Z735" s="112" t="str">
        <f t="shared" si="187"/>
        <v/>
      </c>
      <c r="AA735" s="112" t="str">
        <f t="shared" si="188"/>
        <v/>
      </c>
      <c r="AB735" s="112" t="str">
        <f t="shared" si="189"/>
        <v/>
      </c>
      <c r="AC735" s="112" t="str">
        <f t="shared" si="190"/>
        <v/>
      </c>
      <c r="AD735" s="112" t="str">
        <f t="shared" si="191"/>
        <v/>
      </c>
    </row>
    <row r="736" spans="1:30" x14ac:dyDescent="0.2">
      <c r="A736" s="112" t="str">
        <f>IF(SUM(Q736:R736)=1,1+MAX($A$1:A735),"")</f>
        <v/>
      </c>
      <c r="B736" s="112">
        <f>IF(SUM(X736:Y736)=1,1+MAX($B$1:B735),"")</f>
        <v>74</v>
      </c>
      <c r="C736" s="112" t="str">
        <f>IF(SUM(Q736:R736,X736:Y736)=2,1+MAX($C$1:C735),"")</f>
        <v/>
      </c>
      <c r="D736" s="113">
        <v>22796</v>
      </c>
      <c r="E736" s="112">
        <v>1962</v>
      </c>
      <c r="F736" s="112" t="s">
        <v>3020</v>
      </c>
      <c r="G736" s="112">
        <v>4</v>
      </c>
      <c r="H736" s="114" t="s">
        <v>1134</v>
      </c>
      <c r="I736" s="112">
        <f t="shared" si="180"/>
        <v>1</v>
      </c>
      <c r="J736" s="112">
        <f t="shared" si="181"/>
        <v>0</v>
      </c>
      <c r="K736" s="115" t="s">
        <v>2631</v>
      </c>
      <c r="L736" s="115" t="s">
        <v>3150</v>
      </c>
      <c r="M736" s="115" t="s">
        <v>3165</v>
      </c>
      <c r="N736" s="115">
        <v>7134</v>
      </c>
      <c r="O736" s="112">
        <v>2</v>
      </c>
      <c r="P736" s="116" t="s">
        <v>2622</v>
      </c>
      <c r="Q736" s="112" t="str">
        <f t="shared" si="176"/>
        <v/>
      </c>
      <c r="R736" s="112" t="str">
        <f t="shared" si="177"/>
        <v/>
      </c>
      <c r="S736" s="112" t="str">
        <f t="shared" si="182"/>
        <v/>
      </c>
      <c r="T736" s="112" t="str">
        <f t="shared" si="183"/>
        <v/>
      </c>
      <c r="U736" s="112" t="str">
        <f t="shared" si="184"/>
        <v/>
      </c>
      <c r="V736" s="112" t="str">
        <f t="shared" si="185"/>
        <v/>
      </c>
      <c r="W736" s="112" t="str">
        <f t="shared" si="186"/>
        <v/>
      </c>
      <c r="X736" s="112">
        <f t="shared" si="178"/>
        <v>1</v>
      </c>
      <c r="Y736" s="112" t="str">
        <f t="shared" si="179"/>
        <v/>
      </c>
      <c r="Z736" s="112">
        <f t="shared" si="187"/>
        <v>1</v>
      </c>
      <c r="AA736" s="112">
        <f t="shared" si="188"/>
        <v>0</v>
      </c>
      <c r="AB736" s="112">
        <f t="shared" si="189"/>
        <v>0</v>
      </c>
      <c r="AC736" s="112">
        <f t="shared" si="190"/>
        <v>1</v>
      </c>
      <c r="AD736" s="112">
        <f t="shared" si="191"/>
        <v>1</v>
      </c>
    </row>
    <row r="737" spans="1:30" x14ac:dyDescent="0.2">
      <c r="A737" s="112" t="str">
        <f>IF(SUM(Q737:R737)=1,1+MAX($A$1:A736),"")</f>
        <v/>
      </c>
      <c r="B737" s="112" t="str">
        <f>IF(SUM(X737:Y737)=1,1+MAX($B$1:B736),"")</f>
        <v/>
      </c>
      <c r="C737" s="112" t="str">
        <f>IF(SUM(Q737:R737,X737:Y737)=2,1+MAX($C$1:C736),"")</f>
        <v/>
      </c>
      <c r="D737" s="113">
        <v>22796</v>
      </c>
      <c r="E737" s="112">
        <v>1962</v>
      </c>
      <c r="F737" s="112" t="s">
        <v>3033</v>
      </c>
      <c r="G737" s="112">
        <v>3</v>
      </c>
      <c r="H737" s="114" t="s">
        <v>1442</v>
      </c>
      <c r="I737" s="112">
        <f t="shared" si="180"/>
        <v>2</v>
      </c>
      <c r="J737" s="112">
        <f t="shared" si="181"/>
        <v>0</v>
      </c>
      <c r="K737" s="115" t="s">
        <v>1061</v>
      </c>
      <c r="L737" s="115" t="s">
        <v>3149</v>
      </c>
      <c r="M737" s="115" t="s">
        <v>3118</v>
      </c>
      <c r="N737" s="115">
        <v>10484</v>
      </c>
      <c r="O737" s="112">
        <v>2</v>
      </c>
      <c r="P737" s="116" t="s">
        <v>2641</v>
      </c>
      <c r="Q737" s="112" t="str">
        <f t="shared" si="176"/>
        <v/>
      </c>
      <c r="R737" s="112" t="str">
        <f t="shared" si="177"/>
        <v/>
      </c>
      <c r="S737" s="112" t="str">
        <f t="shared" si="182"/>
        <v/>
      </c>
      <c r="T737" s="112" t="str">
        <f t="shared" si="183"/>
        <v/>
      </c>
      <c r="U737" s="112" t="str">
        <f t="shared" si="184"/>
        <v/>
      </c>
      <c r="V737" s="112" t="str">
        <f t="shared" si="185"/>
        <v/>
      </c>
      <c r="W737" s="112" t="str">
        <f t="shared" si="186"/>
        <v/>
      </c>
      <c r="X737" s="112" t="str">
        <f t="shared" si="178"/>
        <v/>
      </c>
      <c r="Y737" s="112" t="str">
        <f t="shared" si="179"/>
        <v/>
      </c>
      <c r="Z737" s="112" t="str">
        <f t="shared" si="187"/>
        <v/>
      </c>
      <c r="AA737" s="112" t="str">
        <f t="shared" si="188"/>
        <v/>
      </c>
      <c r="AB737" s="112" t="str">
        <f t="shared" si="189"/>
        <v/>
      </c>
      <c r="AC737" s="112" t="str">
        <f t="shared" si="190"/>
        <v/>
      </c>
      <c r="AD737" s="112" t="str">
        <f t="shared" si="191"/>
        <v/>
      </c>
    </row>
    <row r="738" spans="1:30" x14ac:dyDescent="0.2">
      <c r="A738" s="112" t="str">
        <f>IF(SUM(Q738:R738)=1,1+MAX($A$1:A737),"")</f>
        <v/>
      </c>
      <c r="B738" s="112" t="str">
        <f>IF(SUM(X738:Y738)=1,1+MAX($B$1:B737),"")</f>
        <v/>
      </c>
      <c r="C738" s="112" t="str">
        <f>IF(SUM(Q738:R738,X738:Y738)=2,1+MAX($C$1:C737),"")</f>
        <v/>
      </c>
      <c r="D738" s="113">
        <v>22796</v>
      </c>
      <c r="E738" s="112">
        <v>1962</v>
      </c>
      <c r="F738" s="112" t="s">
        <v>3024</v>
      </c>
      <c r="G738" s="112">
        <v>2</v>
      </c>
      <c r="H738" s="114" t="s">
        <v>2650</v>
      </c>
      <c r="I738" s="112">
        <f t="shared" si="180"/>
        <v>3</v>
      </c>
      <c r="J738" s="112">
        <f t="shared" si="181"/>
        <v>1</v>
      </c>
      <c r="K738" s="115" t="s">
        <v>2558</v>
      </c>
      <c r="L738" s="115" t="s">
        <v>3147</v>
      </c>
      <c r="M738" s="115" t="s">
        <v>3162</v>
      </c>
      <c r="N738" s="115">
        <v>65000</v>
      </c>
      <c r="O738" s="112">
        <v>2</v>
      </c>
      <c r="P738" s="116" t="s">
        <v>2663</v>
      </c>
      <c r="Q738" s="112" t="str">
        <f t="shared" si="176"/>
        <v/>
      </c>
      <c r="R738" s="112" t="str">
        <f t="shared" si="177"/>
        <v/>
      </c>
      <c r="S738" s="112" t="str">
        <f t="shared" si="182"/>
        <v/>
      </c>
      <c r="T738" s="112" t="str">
        <f t="shared" si="183"/>
        <v/>
      </c>
      <c r="U738" s="112" t="str">
        <f t="shared" si="184"/>
        <v/>
      </c>
      <c r="V738" s="112" t="str">
        <f t="shared" si="185"/>
        <v/>
      </c>
      <c r="W738" s="112" t="str">
        <f t="shared" si="186"/>
        <v/>
      </c>
      <c r="X738" s="112" t="str">
        <f t="shared" si="178"/>
        <v/>
      </c>
      <c r="Y738" s="112" t="str">
        <f t="shared" si="179"/>
        <v/>
      </c>
      <c r="Z738" s="112" t="str">
        <f t="shared" si="187"/>
        <v/>
      </c>
      <c r="AA738" s="112" t="str">
        <f t="shared" si="188"/>
        <v/>
      </c>
      <c r="AB738" s="112" t="str">
        <f t="shared" si="189"/>
        <v/>
      </c>
      <c r="AC738" s="112" t="str">
        <f t="shared" si="190"/>
        <v/>
      </c>
      <c r="AD738" s="112" t="str">
        <f t="shared" si="191"/>
        <v/>
      </c>
    </row>
    <row r="739" spans="1:30" x14ac:dyDescent="0.2">
      <c r="A739" s="112" t="str">
        <f>IF(SUM(Q739:R739)=1,1+MAX($A$1:A738),"")</f>
        <v/>
      </c>
      <c r="B739" s="112" t="str">
        <f>IF(SUM(X739:Y739)=1,1+MAX($B$1:B738),"")</f>
        <v/>
      </c>
      <c r="C739" s="112" t="str">
        <f>IF(SUM(Q739:R739,X739:Y739)=2,1+MAX($C$1:C738),"")</f>
        <v/>
      </c>
      <c r="D739" s="113">
        <v>22796</v>
      </c>
      <c r="E739" s="112">
        <v>1962</v>
      </c>
      <c r="F739" s="112" t="s">
        <v>3035</v>
      </c>
      <c r="G739" s="112">
        <v>1</v>
      </c>
      <c r="H739" s="114" t="s">
        <v>1347</v>
      </c>
      <c r="I739" s="112">
        <f t="shared" si="180"/>
        <v>1</v>
      </c>
      <c r="J739" s="112">
        <f t="shared" si="181"/>
        <v>2</v>
      </c>
      <c r="K739" s="115" t="s">
        <v>2540</v>
      </c>
      <c r="L739" s="115" t="s">
        <v>3151</v>
      </c>
      <c r="M739" s="115" t="s">
        <v>3166</v>
      </c>
      <c r="N739" s="115">
        <v>7908</v>
      </c>
      <c r="O739" s="112">
        <v>3</v>
      </c>
      <c r="P739" s="116" t="s">
        <v>2638</v>
      </c>
      <c r="Q739" s="112" t="str">
        <f t="shared" si="176"/>
        <v/>
      </c>
      <c r="R739" s="112" t="str">
        <f t="shared" si="177"/>
        <v/>
      </c>
      <c r="S739" s="112" t="str">
        <f t="shared" si="182"/>
        <v/>
      </c>
      <c r="T739" s="112" t="str">
        <f t="shared" si="183"/>
        <v/>
      </c>
      <c r="U739" s="112" t="str">
        <f t="shared" si="184"/>
        <v/>
      </c>
      <c r="V739" s="112" t="str">
        <f t="shared" si="185"/>
        <v/>
      </c>
      <c r="W739" s="112" t="str">
        <f t="shared" si="186"/>
        <v/>
      </c>
      <c r="X739" s="112" t="str">
        <f t="shared" si="178"/>
        <v/>
      </c>
      <c r="Y739" s="112" t="str">
        <f t="shared" si="179"/>
        <v/>
      </c>
      <c r="Z739" s="112" t="str">
        <f t="shared" si="187"/>
        <v/>
      </c>
      <c r="AA739" s="112" t="str">
        <f t="shared" si="188"/>
        <v/>
      </c>
      <c r="AB739" s="112" t="str">
        <f t="shared" si="189"/>
        <v/>
      </c>
      <c r="AC739" s="112" t="str">
        <f t="shared" si="190"/>
        <v/>
      </c>
      <c r="AD739" s="112" t="str">
        <f t="shared" si="191"/>
        <v/>
      </c>
    </row>
    <row r="740" spans="1:30" x14ac:dyDescent="0.2">
      <c r="A740" s="112" t="str">
        <f>IF(SUM(Q740:R740)=1,1+MAX($A$1:A739),"")</f>
        <v/>
      </c>
      <c r="B740" s="112" t="str">
        <f>IF(SUM(X740:Y740)=1,1+MAX($B$1:B739),"")</f>
        <v/>
      </c>
      <c r="C740" s="112" t="str">
        <f>IF(SUM(Q740:R740,X740:Y740)=2,1+MAX($C$1:C739),"")</f>
        <v/>
      </c>
      <c r="D740" s="113">
        <v>21365</v>
      </c>
      <c r="E740" s="112">
        <v>1958</v>
      </c>
      <c r="F740" s="112" t="s">
        <v>2597</v>
      </c>
      <c r="H740" s="114" t="s">
        <v>1442</v>
      </c>
      <c r="I740" s="112">
        <f t="shared" si="180"/>
        <v>5</v>
      </c>
      <c r="J740" s="112">
        <f t="shared" si="181"/>
        <v>2</v>
      </c>
      <c r="K740" s="115" t="s">
        <v>2549</v>
      </c>
      <c r="L740" s="115" t="s">
        <v>3167</v>
      </c>
      <c r="M740" s="115" t="s">
        <v>3168</v>
      </c>
      <c r="N740" s="115">
        <v>51800</v>
      </c>
      <c r="O740" s="112">
        <v>2</v>
      </c>
      <c r="P740" s="116" t="s">
        <v>2702</v>
      </c>
      <c r="Q740" s="112" t="str">
        <f t="shared" si="176"/>
        <v/>
      </c>
      <c r="R740" s="112" t="str">
        <f t="shared" si="177"/>
        <v/>
      </c>
      <c r="S740" s="112" t="str">
        <f t="shared" si="182"/>
        <v/>
      </c>
      <c r="T740" s="112" t="str">
        <f t="shared" si="183"/>
        <v/>
      </c>
      <c r="U740" s="112" t="str">
        <f t="shared" si="184"/>
        <v/>
      </c>
      <c r="V740" s="112" t="str">
        <f t="shared" si="185"/>
        <v/>
      </c>
      <c r="W740" s="112" t="str">
        <f t="shared" si="186"/>
        <v/>
      </c>
      <c r="X740" s="112" t="str">
        <f t="shared" si="178"/>
        <v/>
      </c>
      <c r="Y740" s="112" t="str">
        <f t="shared" si="179"/>
        <v/>
      </c>
      <c r="Z740" s="112" t="str">
        <f t="shared" si="187"/>
        <v/>
      </c>
      <c r="AA740" s="112" t="str">
        <f t="shared" si="188"/>
        <v/>
      </c>
      <c r="AB740" s="112" t="str">
        <f t="shared" si="189"/>
        <v/>
      </c>
      <c r="AC740" s="112" t="str">
        <f t="shared" si="190"/>
        <v/>
      </c>
      <c r="AD740" s="112" t="str">
        <f t="shared" si="191"/>
        <v/>
      </c>
    </row>
    <row r="741" spans="1:30" x14ac:dyDescent="0.2">
      <c r="A741" s="112" t="str">
        <f>IF(SUM(Q741:R741)=1,1+MAX($A$1:A740),"")</f>
        <v/>
      </c>
      <c r="B741" s="112" t="str">
        <f>IF(SUM(X741:Y741)=1,1+MAX($B$1:B740),"")</f>
        <v/>
      </c>
      <c r="C741" s="112" t="str">
        <f>IF(SUM(Q741:R741,X741:Y741)=2,1+MAX($C$1:C740),"")</f>
        <v/>
      </c>
      <c r="D741" s="113">
        <v>21364</v>
      </c>
      <c r="E741" s="112">
        <v>1958</v>
      </c>
      <c r="F741" s="112" t="s">
        <v>2602</v>
      </c>
      <c r="H741" s="114" t="s">
        <v>2541</v>
      </c>
      <c r="I741" s="112">
        <f t="shared" si="180"/>
        <v>6</v>
      </c>
      <c r="J741" s="112">
        <f t="shared" si="181"/>
        <v>3</v>
      </c>
      <c r="K741" s="115" t="s">
        <v>2547</v>
      </c>
      <c r="L741" s="115" t="s">
        <v>3169</v>
      </c>
      <c r="M741" s="115" t="s">
        <v>3170</v>
      </c>
      <c r="N741" s="115">
        <v>25000</v>
      </c>
      <c r="O741" s="112">
        <v>2</v>
      </c>
      <c r="P741" s="116" t="s">
        <v>3171</v>
      </c>
      <c r="Q741" s="112" t="str">
        <f t="shared" si="176"/>
        <v/>
      </c>
      <c r="R741" s="112" t="str">
        <f t="shared" si="177"/>
        <v/>
      </c>
      <c r="S741" s="112" t="str">
        <f t="shared" si="182"/>
        <v/>
      </c>
      <c r="T741" s="112" t="str">
        <f t="shared" si="183"/>
        <v/>
      </c>
      <c r="U741" s="112" t="str">
        <f t="shared" si="184"/>
        <v/>
      </c>
      <c r="V741" s="112" t="str">
        <f t="shared" si="185"/>
        <v/>
      </c>
      <c r="W741" s="112" t="str">
        <f t="shared" si="186"/>
        <v/>
      </c>
      <c r="X741" s="112" t="str">
        <f t="shared" si="178"/>
        <v/>
      </c>
      <c r="Y741" s="112" t="str">
        <f t="shared" si="179"/>
        <v/>
      </c>
      <c r="Z741" s="112" t="str">
        <f t="shared" si="187"/>
        <v/>
      </c>
      <c r="AA741" s="112" t="str">
        <f t="shared" si="188"/>
        <v/>
      </c>
      <c r="AB741" s="112" t="str">
        <f t="shared" si="189"/>
        <v/>
      </c>
      <c r="AC741" s="112" t="str">
        <f t="shared" si="190"/>
        <v/>
      </c>
      <c r="AD741" s="112" t="str">
        <f t="shared" si="191"/>
        <v/>
      </c>
    </row>
    <row r="742" spans="1:30" x14ac:dyDescent="0.2">
      <c r="A742" s="112" t="str">
        <f>IF(SUM(Q742:R742)=1,1+MAX($A$1:A741),"")</f>
        <v/>
      </c>
      <c r="B742" s="112" t="str">
        <f>IF(SUM(X742:Y742)=1,1+MAX($B$1:B741),"")</f>
        <v/>
      </c>
      <c r="C742" s="112" t="str">
        <f>IF(SUM(Q742:R742,X742:Y742)=2,1+MAX($C$1:C741),"")</f>
        <v/>
      </c>
      <c r="D742" s="113">
        <v>21360</v>
      </c>
      <c r="E742" s="112">
        <v>1958</v>
      </c>
      <c r="F742" s="112" t="s">
        <v>2609</v>
      </c>
      <c r="H742" s="114" t="s">
        <v>2547</v>
      </c>
      <c r="I742" s="112">
        <f t="shared" si="180"/>
        <v>1</v>
      </c>
      <c r="J742" s="112">
        <f t="shared" si="181"/>
        <v>3</v>
      </c>
      <c r="K742" s="115" t="s">
        <v>2549</v>
      </c>
      <c r="L742" s="115" t="s">
        <v>3169</v>
      </c>
      <c r="M742" s="115" t="s">
        <v>3172</v>
      </c>
      <c r="N742" s="115">
        <v>50000</v>
      </c>
      <c r="O742" s="112">
        <v>2</v>
      </c>
      <c r="P742" s="116" t="s">
        <v>2691</v>
      </c>
      <c r="Q742" s="112" t="str">
        <f t="shared" si="176"/>
        <v/>
      </c>
      <c r="R742" s="112" t="str">
        <f t="shared" si="177"/>
        <v/>
      </c>
      <c r="S742" s="112" t="str">
        <f t="shared" si="182"/>
        <v/>
      </c>
      <c r="T742" s="112" t="str">
        <f t="shared" si="183"/>
        <v/>
      </c>
      <c r="U742" s="112" t="str">
        <f t="shared" si="184"/>
        <v/>
      </c>
      <c r="V742" s="112" t="str">
        <f t="shared" si="185"/>
        <v/>
      </c>
      <c r="W742" s="112" t="str">
        <f t="shared" si="186"/>
        <v/>
      </c>
      <c r="X742" s="112" t="str">
        <f t="shared" si="178"/>
        <v/>
      </c>
      <c r="Y742" s="112" t="str">
        <f t="shared" si="179"/>
        <v/>
      </c>
      <c r="Z742" s="112" t="str">
        <f t="shared" si="187"/>
        <v/>
      </c>
      <c r="AA742" s="112" t="str">
        <f t="shared" si="188"/>
        <v/>
      </c>
      <c r="AB742" s="112" t="str">
        <f t="shared" si="189"/>
        <v/>
      </c>
      <c r="AC742" s="112" t="str">
        <f t="shared" si="190"/>
        <v/>
      </c>
      <c r="AD742" s="112" t="str">
        <f t="shared" si="191"/>
        <v/>
      </c>
    </row>
    <row r="743" spans="1:30" x14ac:dyDescent="0.2">
      <c r="A743" s="112" t="str">
        <f>IF(SUM(Q743:R743)=1,1+MAX($A$1:A742),"")</f>
        <v/>
      </c>
      <c r="B743" s="112" t="str">
        <f>IF(SUM(X743:Y743)=1,1+MAX($B$1:B742),"")</f>
        <v/>
      </c>
      <c r="C743" s="112" t="str">
        <f>IF(SUM(Q743:R743,X743:Y743)=2,1+MAX($C$1:C742),"")</f>
        <v/>
      </c>
      <c r="D743" s="113">
        <v>21360</v>
      </c>
      <c r="E743" s="112">
        <v>1958</v>
      </c>
      <c r="F743" s="112" t="s">
        <v>2609</v>
      </c>
      <c r="H743" s="114" t="s">
        <v>1442</v>
      </c>
      <c r="I743" s="112">
        <f t="shared" si="180"/>
        <v>5</v>
      </c>
      <c r="J743" s="112">
        <f t="shared" si="181"/>
        <v>2</v>
      </c>
      <c r="K743" s="115" t="s">
        <v>2541</v>
      </c>
      <c r="L743" s="115" t="s">
        <v>3167</v>
      </c>
      <c r="N743" s="115">
        <v>27000</v>
      </c>
      <c r="O743" s="112">
        <v>2</v>
      </c>
      <c r="P743" s="116" t="s">
        <v>2702</v>
      </c>
      <c r="Q743" s="112" t="str">
        <f t="shared" si="176"/>
        <v/>
      </c>
      <c r="R743" s="112" t="str">
        <f t="shared" si="177"/>
        <v/>
      </c>
      <c r="S743" s="112" t="str">
        <f t="shared" si="182"/>
        <v/>
      </c>
      <c r="T743" s="112" t="str">
        <f t="shared" si="183"/>
        <v/>
      </c>
      <c r="U743" s="112" t="str">
        <f t="shared" si="184"/>
        <v/>
      </c>
      <c r="V743" s="112" t="str">
        <f t="shared" si="185"/>
        <v/>
      </c>
      <c r="W743" s="112" t="str">
        <f t="shared" si="186"/>
        <v/>
      </c>
      <c r="X743" s="112" t="str">
        <f t="shared" si="178"/>
        <v/>
      </c>
      <c r="Y743" s="112" t="str">
        <f t="shared" si="179"/>
        <v/>
      </c>
      <c r="Z743" s="112" t="str">
        <f t="shared" si="187"/>
        <v/>
      </c>
      <c r="AA743" s="112" t="str">
        <f t="shared" si="188"/>
        <v/>
      </c>
      <c r="AB743" s="112" t="str">
        <f t="shared" si="189"/>
        <v/>
      </c>
      <c r="AC743" s="112" t="str">
        <f t="shared" si="190"/>
        <v/>
      </c>
      <c r="AD743" s="112" t="str">
        <f t="shared" si="191"/>
        <v/>
      </c>
    </row>
    <row r="744" spans="1:30" x14ac:dyDescent="0.2">
      <c r="A744" s="112" t="str">
        <f>IF(SUM(Q744:R744)=1,1+MAX($A$1:A743),"")</f>
        <v/>
      </c>
      <c r="B744" s="112" t="str">
        <f>IF(SUM(X744:Y744)=1,1+MAX($B$1:B743),"")</f>
        <v/>
      </c>
      <c r="C744" s="112" t="str">
        <f>IF(SUM(Q744:R744,X744:Y744)=2,1+MAX($C$1:C743),"")</f>
        <v/>
      </c>
      <c r="D744" s="113">
        <v>21355</v>
      </c>
      <c r="E744" s="112">
        <v>1958</v>
      </c>
      <c r="F744" s="112" t="s">
        <v>2618</v>
      </c>
      <c r="H744" s="114" t="s">
        <v>2547</v>
      </c>
      <c r="I744" s="112">
        <f t="shared" si="180"/>
        <v>1</v>
      </c>
      <c r="J744" s="112">
        <f t="shared" si="181"/>
        <v>0</v>
      </c>
      <c r="K744" s="115" t="s">
        <v>2862</v>
      </c>
      <c r="L744" s="115" t="s">
        <v>3173</v>
      </c>
      <c r="M744" s="115" t="s">
        <v>3174</v>
      </c>
      <c r="N744" s="115">
        <v>20000</v>
      </c>
      <c r="O744" s="112">
        <v>2</v>
      </c>
      <c r="P744" s="116" t="s">
        <v>2622</v>
      </c>
      <c r="Q744" s="112" t="str">
        <f t="shared" si="176"/>
        <v/>
      </c>
      <c r="R744" s="112" t="str">
        <f t="shared" si="177"/>
        <v/>
      </c>
      <c r="S744" s="112" t="str">
        <f t="shared" si="182"/>
        <v/>
      </c>
      <c r="T744" s="112" t="str">
        <f t="shared" si="183"/>
        <v/>
      </c>
      <c r="U744" s="112" t="str">
        <f t="shared" si="184"/>
        <v/>
      </c>
      <c r="V744" s="112" t="str">
        <f t="shared" si="185"/>
        <v/>
      </c>
      <c r="W744" s="112" t="str">
        <f t="shared" si="186"/>
        <v/>
      </c>
      <c r="X744" s="112" t="str">
        <f t="shared" si="178"/>
        <v/>
      </c>
      <c r="Y744" s="112" t="str">
        <f t="shared" si="179"/>
        <v/>
      </c>
      <c r="Z744" s="112" t="str">
        <f t="shared" si="187"/>
        <v/>
      </c>
      <c r="AA744" s="112" t="str">
        <f t="shared" si="188"/>
        <v/>
      </c>
      <c r="AB744" s="112" t="str">
        <f t="shared" si="189"/>
        <v/>
      </c>
      <c r="AC744" s="112" t="str">
        <f t="shared" si="190"/>
        <v/>
      </c>
      <c r="AD744" s="112" t="str">
        <f t="shared" si="191"/>
        <v/>
      </c>
    </row>
    <row r="745" spans="1:30" x14ac:dyDescent="0.2">
      <c r="A745" s="112" t="str">
        <f>IF(SUM(Q745:R745)=1,1+MAX($A$1:A744),"")</f>
        <v/>
      </c>
      <c r="B745" s="112" t="str">
        <f>IF(SUM(X745:Y745)=1,1+MAX($B$1:B744),"")</f>
        <v/>
      </c>
      <c r="C745" s="112" t="str">
        <f>IF(SUM(Q745:R745,X745:Y745)=2,1+MAX($C$1:C744),"")</f>
        <v/>
      </c>
      <c r="D745" s="113">
        <v>21355</v>
      </c>
      <c r="E745" s="112">
        <v>1958</v>
      </c>
      <c r="F745" s="112" t="s">
        <v>2618</v>
      </c>
      <c r="H745" s="114" t="s">
        <v>1442</v>
      </c>
      <c r="I745" s="112">
        <f t="shared" si="180"/>
        <v>1</v>
      </c>
      <c r="J745" s="112">
        <f t="shared" si="181"/>
        <v>0</v>
      </c>
      <c r="K745" s="115" t="s">
        <v>3175</v>
      </c>
      <c r="L745" s="115" t="s">
        <v>3169</v>
      </c>
      <c r="M745" s="115" t="s">
        <v>3176</v>
      </c>
      <c r="N745" s="115">
        <v>25000</v>
      </c>
      <c r="O745" s="112">
        <v>2</v>
      </c>
      <c r="P745" s="116" t="s">
        <v>2622</v>
      </c>
      <c r="Q745" s="112" t="str">
        <f t="shared" si="176"/>
        <v/>
      </c>
      <c r="R745" s="112" t="str">
        <f t="shared" si="177"/>
        <v/>
      </c>
      <c r="S745" s="112" t="str">
        <f t="shared" si="182"/>
        <v/>
      </c>
      <c r="T745" s="112" t="str">
        <f t="shared" si="183"/>
        <v/>
      </c>
      <c r="U745" s="112" t="str">
        <f t="shared" si="184"/>
        <v/>
      </c>
      <c r="V745" s="112" t="str">
        <f t="shared" si="185"/>
        <v/>
      </c>
      <c r="W745" s="112" t="str">
        <f t="shared" si="186"/>
        <v/>
      </c>
      <c r="X745" s="112" t="str">
        <f t="shared" si="178"/>
        <v/>
      </c>
      <c r="Y745" s="112" t="str">
        <f t="shared" si="179"/>
        <v/>
      </c>
      <c r="Z745" s="112" t="str">
        <f t="shared" si="187"/>
        <v/>
      </c>
      <c r="AA745" s="112" t="str">
        <f t="shared" si="188"/>
        <v/>
      </c>
      <c r="AB745" s="112" t="str">
        <f t="shared" si="189"/>
        <v/>
      </c>
      <c r="AC745" s="112" t="str">
        <f t="shared" si="190"/>
        <v/>
      </c>
      <c r="AD745" s="112" t="str">
        <f t="shared" si="191"/>
        <v/>
      </c>
    </row>
    <row r="746" spans="1:30" x14ac:dyDescent="0.2">
      <c r="A746" s="112" t="str">
        <f>IF(SUM(Q746:R746)=1,1+MAX($A$1:A745),"")</f>
        <v/>
      </c>
      <c r="B746" s="112" t="str">
        <f>IF(SUM(X746:Y746)=1,1+MAX($B$1:B745),"")</f>
        <v/>
      </c>
      <c r="C746" s="112" t="str">
        <f>IF(SUM(Q746:R746,X746:Y746)=2,1+MAX($C$1:C745),"")</f>
        <v/>
      </c>
      <c r="D746" s="113">
        <v>21355</v>
      </c>
      <c r="E746" s="112">
        <v>1958</v>
      </c>
      <c r="F746" s="112" t="s">
        <v>2618</v>
      </c>
      <c r="H746" s="114" t="s">
        <v>2549</v>
      </c>
      <c r="I746" s="112">
        <f t="shared" si="180"/>
        <v>2</v>
      </c>
      <c r="J746" s="112">
        <f t="shared" si="181"/>
        <v>0</v>
      </c>
      <c r="K746" s="115" t="s">
        <v>2720</v>
      </c>
      <c r="L746" s="115" t="s">
        <v>3167</v>
      </c>
      <c r="M746" s="115" t="s">
        <v>3177</v>
      </c>
      <c r="N746" s="115">
        <v>45000</v>
      </c>
      <c r="O746" s="112">
        <v>2</v>
      </c>
      <c r="P746" s="116" t="s">
        <v>2641</v>
      </c>
      <c r="Q746" s="112" t="str">
        <f t="shared" si="176"/>
        <v/>
      </c>
      <c r="R746" s="112" t="str">
        <f t="shared" si="177"/>
        <v/>
      </c>
      <c r="S746" s="112" t="str">
        <f t="shared" si="182"/>
        <v/>
      </c>
      <c r="T746" s="112" t="str">
        <f t="shared" si="183"/>
        <v/>
      </c>
      <c r="U746" s="112" t="str">
        <f t="shared" si="184"/>
        <v/>
      </c>
      <c r="V746" s="112" t="str">
        <f t="shared" si="185"/>
        <v/>
      </c>
      <c r="W746" s="112" t="str">
        <f t="shared" si="186"/>
        <v/>
      </c>
      <c r="X746" s="112" t="str">
        <f t="shared" si="178"/>
        <v/>
      </c>
      <c r="Y746" s="112" t="str">
        <f t="shared" si="179"/>
        <v/>
      </c>
      <c r="Z746" s="112" t="str">
        <f t="shared" si="187"/>
        <v/>
      </c>
      <c r="AA746" s="112" t="str">
        <f t="shared" si="188"/>
        <v/>
      </c>
      <c r="AB746" s="112" t="str">
        <f t="shared" si="189"/>
        <v/>
      </c>
      <c r="AC746" s="112" t="str">
        <f t="shared" si="190"/>
        <v/>
      </c>
      <c r="AD746" s="112" t="str">
        <f t="shared" si="191"/>
        <v/>
      </c>
    </row>
    <row r="747" spans="1:30" x14ac:dyDescent="0.2">
      <c r="A747" s="112" t="str">
        <f>IF(SUM(Q747:R747)=1,1+MAX($A$1:A746),"")</f>
        <v/>
      </c>
      <c r="B747" s="112" t="str">
        <f>IF(SUM(X747:Y747)=1,1+MAX($B$1:B746),"")</f>
        <v/>
      </c>
      <c r="C747" s="112" t="str">
        <f>IF(SUM(Q747:R747,X747:Y747)=2,1+MAX($C$1:C746),"")</f>
        <v/>
      </c>
      <c r="D747" s="113">
        <v>21355</v>
      </c>
      <c r="E747" s="112">
        <v>1958</v>
      </c>
      <c r="F747" s="112" t="s">
        <v>2618</v>
      </c>
      <c r="H747" s="114" t="s">
        <v>2541</v>
      </c>
      <c r="I747" s="112">
        <f t="shared" si="180"/>
        <v>4</v>
      </c>
      <c r="J747" s="112">
        <f t="shared" si="181"/>
        <v>0</v>
      </c>
      <c r="K747" s="115" t="s">
        <v>2715</v>
      </c>
      <c r="L747" s="115" t="s">
        <v>3178</v>
      </c>
      <c r="M747" s="115" t="s">
        <v>3179</v>
      </c>
      <c r="N747" s="115">
        <v>12000</v>
      </c>
      <c r="O747" s="112">
        <v>2</v>
      </c>
      <c r="P747" s="116" t="s">
        <v>2710</v>
      </c>
      <c r="Q747" s="112" t="str">
        <f t="shared" si="176"/>
        <v/>
      </c>
      <c r="R747" s="112" t="str">
        <f t="shared" si="177"/>
        <v/>
      </c>
      <c r="S747" s="112" t="str">
        <f t="shared" si="182"/>
        <v/>
      </c>
      <c r="T747" s="112" t="str">
        <f t="shared" si="183"/>
        <v/>
      </c>
      <c r="U747" s="112" t="str">
        <f t="shared" si="184"/>
        <v/>
      </c>
      <c r="V747" s="112" t="str">
        <f t="shared" si="185"/>
        <v/>
      </c>
      <c r="W747" s="112" t="str">
        <f t="shared" si="186"/>
        <v/>
      </c>
      <c r="X747" s="112" t="str">
        <f t="shared" si="178"/>
        <v/>
      </c>
      <c r="Y747" s="112" t="str">
        <f t="shared" si="179"/>
        <v/>
      </c>
      <c r="Z747" s="112" t="str">
        <f t="shared" si="187"/>
        <v/>
      </c>
      <c r="AA747" s="112" t="str">
        <f t="shared" si="188"/>
        <v/>
      </c>
      <c r="AB747" s="112" t="str">
        <f t="shared" si="189"/>
        <v/>
      </c>
      <c r="AC747" s="112" t="str">
        <f t="shared" si="190"/>
        <v/>
      </c>
      <c r="AD747" s="112" t="str">
        <f t="shared" si="191"/>
        <v/>
      </c>
    </row>
    <row r="748" spans="1:30" x14ac:dyDescent="0.2">
      <c r="A748" s="112" t="str">
        <f>IF(SUM(Q748:R748)=1,1+MAX($A$1:A747),"")</f>
        <v/>
      </c>
      <c r="B748" s="112" t="str">
        <f>IF(SUM(X748:Y748)=1,1+MAX($B$1:B747),"")</f>
        <v/>
      </c>
      <c r="C748" s="112" t="str">
        <f>IF(SUM(Q748:R748,X748:Y748)=2,1+MAX($C$1:C747),"")</f>
        <v/>
      </c>
      <c r="D748" s="113">
        <v>21353</v>
      </c>
      <c r="E748" s="112">
        <v>1958</v>
      </c>
      <c r="F748" s="118" t="s">
        <v>3060</v>
      </c>
      <c r="H748" s="114" t="s">
        <v>2725</v>
      </c>
      <c r="I748" s="112">
        <f t="shared" si="180"/>
        <v>1</v>
      </c>
      <c r="J748" s="112">
        <f t="shared" si="181"/>
        <v>2</v>
      </c>
      <c r="K748" s="115" t="s">
        <v>3175</v>
      </c>
      <c r="L748" s="115" t="s">
        <v>3167</v>
      </c>
      <c r="N748" s="115">
        <v>2823</v>
      </c>
      <c r="O748" s="112">
        <v>1</v>
      </c>
      <c r="P748" s="116" t="s">
        <v>2638</v>
      </c>
      <c r="Q748" s="112" t="str">
        <f t="shared" si="176"/>
        <v/>
      </c>
      <c r="R748" s="112" t="str">
        <f t="shared" si="177"/>
        <v/>
      </c>
      <c r="S748" s="112" t="str">
        <f t="shared" si="182"/>
        <v/>
      </c>
      <c r="T748" s="112" t="str">
        <f t="shared" si="183"/>
        <v/>
      </c>
      <c r="U748" s="112" t="str">
        <f t="shared" si="184"/>
        <v/>
      </c>
      <c r="V748" s="112" t="str">
        <f t="shared" si="185"/>
        <v/>
      </c>
      <c r="W748" s="112" t="str">
        <f t="shared" si="186"/>
        <v/>
      </c>
      <c r="X748" s="112" t="str">
        <f t="shared" si="178"/>
        <v/>
      </c>
      <c r="Y748" s="112" t="str">
        <f t="shared" si="179"/>
        <v/>
      </c>
      <c r="Z748" s="112" t="str">
        <f t="shared" si="187"/>
        <v/>
      </c>
      <c r="AA748" s="112" t="str">
        <f t="shared" si="188"/>
        <v/>
      </c>
      <c r="AB748" s="112" t="str">
        <f t="shared" si="189"/>
        <v/>
      </c>
      <c r="AC748" s="112" t="str">
        <f t="shared" si="190"/>
        <v/>
      </c>
      <c r="AD748" s="112" t="str">
        <f t="shared" si="191"/>
        <v/>
      </c>
    </row>
    <row r="749" spans="1:30" x14ac:dyDescent="0.2">
      <c r="A749" s="112">
        <f>IF(SUM(Q749:R749)=1,1+MAX($A$1:A748),"")</f>
        <v>53</v>
      </c>
      <c r="B749" s="112" t="str">
        <f>IF(SUM(X749:Y749)=1,1+MAX($B$1:B748),"")</f>
        <v/>
      </c>
      <c r="C749" s="112" t="str">
        <f>IF(SUM(Q749:R749,X749:Y749)=2,1+MAX($C$1:C748),"")</f>
        <v/>
      </c>
      <c r="D749" s="113">
        <v>21353</v>
      </c>
      <c r="E749" s="112">
        <v>1958</v>
      </c>
      <c r="F749" s="112" t="s">
        <v>3020</v>
      </c>
      <c r="G749" s="112">
        <v>4</v>
      </c>
      <c r="H749" s="114" t="s">
        <v>2545</v>
      </c>
      <c r="I749" s="112">
        <f t="shared" si="180"/>
        <v>0</v>
      </c>
      <c r="J749" s="112">
        <f t="shared" si="181"/>
        <v>1</v>
      </c>
      <c r="K749" s="115" t="s">
        <v>2720</v>
      </c>
      <c r="L749" s="115" t="s">
        <v>3169</v>
      </c>
      <c r="M749" s="115" t="s">
        <v>3180</v>
      </c>
      <c r="N749" s="115">
        <v>23182</v>
      </c>
      <c r="O749" s="112">
        <v>2</v>
      </c>
      <c r="P749" s="116" t="s">
        <v>2601</v>
      </c>
      <c r="Q749" s="112">
        <f t="shared" si="176"/>
        <v>1</v>
      </c>
      <c r="R749" s="112" t="str">
        <f t="shared" si="177"/>
        <v/>
      </c>
      <c r="S749" s="112">
        <f t="shared" si="182"/>
        <v>0</v>
      </c>
      <c r="T749" s="112">
        <f t="shared" si="183"/>
        <v>0</v>
      </c>
      <c r="U749" s="112">
        <f t="shared" si="184"/>
        <v>1</v>
      </c>
      <c r="V749" s="112">
        <f t="shared" si="185"/>
        <v>1</v>
      </c>
      <c r="W749" s="112">
        <f t="shared" si="186"/>
        <v>-1</v>
      </c>
      <c r="X749" s="112" t="str">
        <f t="shared" si="178"/>
        <v/>
      </c>
      <c r="Y749" s="112" t="str">
        <f t="shared" si="179"/>
        <v/>
      </c>
      <c r="Z749" s="112" t="str">
        <f t="shared" si="187"/>
        <v/>
      </c>
      <c r="AA749" s="112" t="str">
        <f t="shared" si="188"/>
        <v/>
      </c>
      <c r="AB749" s="112" t="str">
        <f t="shared" si="189"/>
        <v/>
      </c>
      <c r="AC749" s="112" t="str">
        <f t="shared" si="190"/>
        <v/>
      </c>
      <c r="AD749" s="112" t="str">
        <f t="shared" si="191"/>
        <v/>
      </c>
    </row>
    <row r="750" spans="1:30" x14ac:dyDescent="0.2">
      <c r="A750" s="112" t="str">
        <f>IF(SUM(Q750:R750)=1,1+MAX($A$1:A749),"")</f>
        <v/>
      </c>
      <c r="B750" s="112" t="str">
        <f>IF(SUM(X750:Y750)=1,1+MAX($B$1:B749),"")</f>
        <v/>
      </c>
      <c r="C750" s="112" t="str">
        <f>IF(SUM(Q750:R750,X750:Y750)=2,1+MAX($C$1:C749),"")</f>
        <v/>
      </c>
      <c r="D750" s="113">
        <v>21353</v>
      </c>
      <c r="E750" s="112">
        <v>1958</v>
      </c>
      <c r="F750" s="112" t="s">
        <v>3035</v>
      </c>
      <c r="G750" s="112">
        <v>1</v>
      </c>
      <c r="H750" s="114" t="s">
        <v>2648</v>
      </c>
      <c r="I750" s="112">
        <f t="shared" si="180"/>
        <v>1</v>
      </c>
      <c r="J750" s="112">
        <f t="shared" si="181"/>
        <v>2</v>
      </c>
      <c r="K750" s="115" t="s">
        <v>2715</v>
      </c>
      <c r="L750" s="115" t="s">
        <v>3173</v>
      </c>
      <c r="M750" s="115" t="s">
        <v>3181</v>
      </c>
      <c r="N750" s="115">
        <v>6196</v>
      </c>
      <c r="O750" s="112">
        <v>2</v>
      </c>
      <c r="P750" s="116" t="s">
        <v>2638</v>
      </c>
      <c r="Q750" s="112" t="str">
        <f t="shared" si="176"/>
        <v/>
      </c>
      <c r="R750" s="112" t="str">
        <f t="shared" si="177"/>
        <v/>
      </c>
      <c r="S750" s="112" t="str">
        <f t="shared" si="182"/>
        <v/>
      </c>
      <c r="T750" s="112" t="str">
        <f t="shared" si="183"/>
        <v/>
      </c>
      <c r="U750" s="112" t="str">
        <f t="shared" si="184"/>
        <v/>
      </c>
      <c r="V750" s="112" t="str">
        <f t="shared" si="185"/>
        <v/>
      </c>
      <c r="W750" s="112" t="str">
        <f t="shared" si="186"/>
        <v/>
      </c>
      <c r="X750" s="112" t="str">
        <f t="shared" si="178"/>
        <v/>
      </c>
      <c r="Y750" s="112" t="str">
        <f t="shared" si="179"/>
        <v/>
      </c>
      <c r="Z750" s="112" t="str">
        <f t="shared" si="187"/>
        <v/>
      </c>
      <c r="AA750" s="112" t="str">
        <f t="shared" si="188"/>
        <v/>
      </c>
      <c r="AB750" s="112" t="str">
        <f t="shared" si="189"/>
        <v/>
      </c>
      <c r="AC750" s="112" t="str">
        <f t="shared" si="190"/>
        <v/>
      </c>
      <c r="AD750" s="112" t="str">
        <f t="shared" si="191"/>
        <v/>
      </c>
    </row>
    <row r="751" spans="1:30" x14ac:dyDescent="0.2">
      <c r="A751" s="112" t="str">
        <f>IF(SUM(Q751:R751)=1,1+MAX($A$1:A750),"")</f>
        <v/>
      </c>
      <c r="B751" s="112" t="str">
        <f>IF(SUM(X751:Y751)=1,1+MAX($B$1:B750),"")</f>
        <v/>
      </c>
      <c r="C751" s="112" t="str">
        <f>IF(SUM(Q751:R751,X751:Y751)=2,1+MAX($C$1:C750),"")</f>
        <v/>
      </c>
      <c r="D751" s="113">
        <v>21351</v>
      </c>
      <c r="E751" s="112">
        <v>1958</v>
      </c>
      <c r="F751" s="112" t="s">
        <v>3020</v>
      </c>
      <c r="G751" s="112">
        <v>4</v>
      </c>
      <c r="H751" s="114" t="s">
        <v>1442</v>
      </c>
      <c r="I751" s="112">
        <f t="shared" si="180"/>
        <v>2</v>
      </c>
      <c r="J751" s="112">
        <f t="shared" si="181"/>
        <v>0</v>
      </c>
      <c r="K751" s="115" t="s">
        <v>2720</v>
      </c>
      <c r="L751" s="115" t="s">
        <v>3169</v>
      </c>
      <c r="M751" s="115" t="s">
        <v>3181</v>
      </c>
      <c r="N751" s="115">
        <v>50928</v>
      </c>
      <c r="O751" s="112">
        <v>2</v>
      </c>
      <c r="P751" s="116" t="s">
        <v>2641</v>
      </c>
      <c r="Q751" s="112" t="str">
        <f t="shared" si="176"/>
        <v/>
      </c>
      <c r="R751" s="112" t="str">
        <f t="shared" si="177"/>
        <v/>
      </c>
      <c r="S751" s="112" t="str">
        <f t="shared" si="182"/>
        <v/>
      </c>
      <c r="T751" s="112" t="str">
        <f t="shared" si="183"/>
        <v/>
      </c>
      <c r="U751" s="112" t="str">
        <f t="shared" si="184"/>
        <v/>
      </c>
      <c r="V751" s="112" t="str">
        <f t="shared" si="185"/>
        <v/>
      </c>
      <c r="W751" s="112" t="str">
        <f t="shared" si="186"/>
        <v/>
      </c>
      <c r="X751" s="112" t="str">
        <f t="shared" si="178"/>
        <v/>
      </c>
      <c r="Y751" s="112" t="str">
        <f t="shared" si="179"/>
        <v/>
      </c>
      <c r="Z751" s="112" t="str">
        <f t="shared" si="187"/>
        <v/>
      </c>
      <c r="AA751" s="112" t="str">
        <f t="shared" si="188"/>
        <v/>
      </c>
      <c r="AB751" s="112" t="str">
        <f t="shared" si="189"/>
        <v/>
      </c>
      <c r="AC751" s="112" t="str">
        <f t="shared" si="190"/>
        <v/>
      </c>
      <c r="AD751" s="112" t="str">
        <f t="shared" si="191"/>
        <v/>
      </c>
    </row>
    <row r="752" spans="1:30" x14ac:dyDescent="0.2">
      <c r="A752" s="112">
        <f>IF(SUM(Q752:R752)=1,1+MAX($A$1:A751),"")</f>
        <v>54</v>
      </c>
      <c r="B752" s="112" t="str">
        <f>IF(SUM(X752:Y752)=1,1+MAX($B$1:B751),"")</f>
        <v/>
      </c>
      <c r="C752" s="112" t="str">
        <f>IF(SUM(Q752:R752,X752:Y752)=2,1+MAX($C$1:C751),"")</f>
        <v/>
      </c>
      <c r="D752" s="113">
        <v>21351</v>
      </c>
      <c r="E752" s="112">
        <v>1958</v>
      </c>
      <c r="F752" s="112" t="s">
        <v>3020</v>
      </c>
      <c r="G752" s="112">
        <v>4</v>
      </c>
      <c r="H752" s="114" t="s">
        <v>2623</v>
      </c>
      <c r="I752" s="112">
        <f t="shared" si="180"/>
        <v>2</v>
      </c>
      <c r="J752" s="112">
        <f t="shared" si="181"/>
        <v>2</v>
      </c>
      <c r="K752" s="115" t="s">
        <v>2545</v>
      </c>
      <c r="L752" s="115" t="s">
        <v>3182</v>
      </c>
      <c r="M752" s="115" t="s">
        <v>3183</v>
      </c>
      <c r="N752" s="115">
        <v>15872</v>
      </c>
      <c r="O752" s="112">
        <v>2</v>
      </c>
      <c r="P752" s="116" t="s">
        <v>2697</v>
      </c>
      <c r="Q752" s="112" t="str">
        <f t="shared" si="176"/>
        <v/>
      </c>
      <c r="R752" s="112">
        <f t="shared" si="177"/>
        <v>1</v>
      </c>
      <c r="S752" s="112">
        <f t="shared" si="182"/>
        <v>0</v>
      </c>
      <c r="T752" s="112">
        <f t="shared" si="183"/>
        <v>1</v>
      </c>
      <c r="U752" s="112">
        <f t="shared" si="184"/>
        <v>0</v>
      </c>
      <c r="V752" s="112">
        <f t="shared" si="185"/>
        <v>4</v>
      </c>
      <c r="W752" s="112">
        <f t="shared" si="186"/>
        <v>0</v>
      </c>
      <c r="X752" s="112" t="str">
        <f t="shared" si="178"/>
        <v/>
      </c>
      <c r="Y752" s="112" t="str">
        <f t="shared" si="179"/>
        <v/>
      </c>
      <c r="Z752" s="112" t="str">
        <f t="shared" si="187"/>
        <v/>
      </c>
      <c r="AA752" s="112" t="str">
        <f t="shared" si="188"/>
        <v/>
      </c>
      <c r="AB752" s="112" t="str">
        <f t="shared" si="189"/>
        <v/>
      </c>
      <c r="AC752" s="112" t="str">
        <f t="shared" si="190"/>
        <v/>
      </c>
      <c r="AD752" s="112" t="str">
        <f t="shared" si="191"/>
        <v/>
      </c>
    </row>
    <row r="753" spans="1:30" x14ac:dyDescent="0.2">
      <c r="A753" s="112" t="str">
        <f>IF(SUM(Q753:R753)=1,1+MAX($A$1:A752),"")</f>
        <v/>
      </c>
      <c r="B753" s="112" t="str">
        <f>IF(SUM(X753:Y753)=1,1+MAX($B$1:B752),"")</f>
        <v/>
      </c>
      <c r="C753" s="112" t="str">
        <f>IF(SUM(Q753:R753,X753:Y753)=2,1+MAX($C$1:C752),"")</f>
        <v/>
      </c>
      <c r="D753" s="113">
        <v>21351</v>
      </c>
      <c r="E753" s="112">
        <v>1958</v>
      </c>
      <c r="F753" s="112" t="s">
        <v>3033</v>
      </c>
      <c r="G753" s="112">
        <v>3</v>
      </c>
      <c r="H753" s="114" t="s">
        <v>2725</v>
      </c>
      <c r="I753" s="112">
        <f t="shared" si="180"/>
        <v>4</v>
      </c>
      <c r="J753" s="112">
        <f t="shared" si="181"/>
        <v>0</v>
      </c>
      <c r="K753" s="115" t="s">
        <v>1061</v>
      </c>
      <c r="L753" s="115" t="s">
        <v>3184</v>
      </c>
      <c r="M753" s="115" t="s">
        <v>3185</v>
      </c>
      <c r="N753" s="115">
        <v>13300</v>
      </c>
      <c r="O753" s="112">
        <v>2</v>
      </c>
      <c r="P753" s="116" t="s">
        <v>2710</v>
      </c>
      <c r="Q753" s="112" t="str">
        <f t="shared" si="176"/>
        <v/>
      </c>
      <c r="R753" s="112" t="str">
        <f t="shared" si="177"/>
        <v/>
      </c>
      <c r="S753" s="112" t="str">
        <f t="shared" si="182"/>
        <v/>
      </c>
      <c r="T753" s="112" t="str">
        <f t="shared" si="183"/>
        <v/>
      </c>
      <c r="U753" s="112" t="str">
        <f t="shared" si="184"/>
        <v/>
      </c>
      <c r="V753" s="112" t="str">
        <f t="shared" si="185"/>
        <v/>
      </c>
      <c r="W753" s="112" t="str">
        <f t="shared" si="186"/>
        <v/>
      </c>
      <c r="X753" s="112" t="str">
        <f t="shared" si="178"/>
        <v/>
      </c>
      <c r="Y753" s="112" t="str">
        <f t="shared" si="179"/>
        <v/>
      </c>
      <c r="Z753" s="112" t="str">
        <f t="shared" si="187"/>
        <v/>
      </c>
      <c r="AA753" s="112" t="str">
        <f t="shared" si="188"/>
        <v/>
      </c>
      <c r="AB753" s="112" t="str">
        <f t="shared" si="189"/>
        <v/>
      </c>
      <c r="AC753" s="112" t="str">
        <f t="shared" si="190"/>
        <v/>
      </c>
      <c r="AD753" s="112" t="str">
        <f t="shared" si="191"/>
        <v/>
      </c>
    </row>
    <row r="754" spans="1:30" x14ac:dyDescent="0.2">
      <c r="A754" s="112" t="str">
        <f>IF(SUM(Q754:R754)=1,1+MAX($A$1:A753),"")</f>
        <v/>
      </c>
      <c r="B754" s="112" t="str">
        <f>IF(SUM(X754:Y754)=1,1+MAX($B$1:B753),"")</f>
        <v/>
      </c>
      <c r="C754" s="112" t="str">
        <f>IF(SUM(Q754:R754,X754:Y754)=2,1+MAX($C$1:C753),"")</f>
        <v/>
      </c>
      <c r="D754" s="113">
        <v>21351</v>
      </c>
      <c r="E754" s="112">
        <v>1958</v>
      </c>
      <c r="F754" s="112" t="s">
        <v>3033</v>
      </c>
      <c r="G754" s="112">
        <v>3</v>
      </c>
      <c r="H754" s="114" t="s">
        <v>2549</v>
      </c>
      <c r="I754" s="112">
        <f t="shared" si="180"/>
        <v>0</v>
      </c>
      <c r="J754" s="112">
        <f t="shared" si="181"/>
        <v>0</v>
      </c>
      <c r="K754" s="115" t="s">
        <v>3175</v>
      </c>
      <c r="L754" s="115" t="s">
        <v>3167</v>
      </c>
      <c r="M754" s="115" t="s">
        <v>3186</v>
      </c>
      <c r="N754" s="115">
        <v>35000</v>
      </c>
      <c r="O754" s="112">
        <v>2</v>
      </c>
      <c r="P754" s="116" t="s">
        <v>2613</v>
      </c>
      <c r="Q754" s="112" t="str">
        <f t="shared" si="176"/>
        <v/>
      </c>
      <c r="R754" s="112" t="str">
        <f t="shared" si="177"/>
        <v/>
      </c>
      <c r="S754" s="112" t="str">
        <f t="shared" si="182"/>
        <v/>
      </c>
      <c r="T754" s="112" t="str">
        <f t="shared" si="183"/>
        <v/>
      </c>
      <c r="U754" s="112" t="str">
        <f t="shared" si="184"/>
        <v/>
      </c>
      <c r="V754" s="112" t="str">
        <f t="shared" si="185"/>
        <v/>
      </c>
      <c r="W754" s="112" t="str">
        <f t="shared" si="186"/>
        <v/>
      </c>
      <c r="X754" s="112" t="str">
        <f t="shared" si="178"/>
        <v/>
      </c>
      <c r="Y754" s="112" t="str">
        <f t="shared" si="179"/>
        <v/>
      </c>
      <c r="Z754" s="112" t="str">
        <f t="shared" si="187"/>
        <v/>
      </c>
      <c r="AA754" s="112" t="str">
        <f t="shared" si="188"/>
        <v/>
      </c>
      <c r="AB754" s="112" t="str">
        <f t="shared" si="189"/>
        <v/>
      </c>
      <c r="AC754" s="112" t="str">
        <f t="shared" si="190"/>
        <v/>
      </c>
      <c r="AD754" s="112" t="str">
        <f t="shared" si="191"/>
        <v/>
      </c>
    </row>
    <row r="755" spans="1:30" x14ac:dyDescent="0.2">
      <c r="A755" s="112" t="str">
        <f>IF(SUM(Q755:R755)=1,1+MAX($A$1:A754),"")</f>
        <v/>
      </c>
      <c r="B755" s="112" t="str">
        <f>IF(SUM(X755:Y755)=1,1+MAX($B$1:B754),"")</f>
        <v/>
      </c>
      <c r="C755" s="112" t="str">
        <f>IF(SUM(Q755:R755,X755:Y755)=2,1+MAX($C$1:C754),"")</f>
        <v/>
      </c>
      <c r="D755" s="113">
        <v>21351</v>
      </c>
      <c r="E755" s="112">
        <v>1958</v>
      </c>
      <c r="F755" s="112" t="s">
        <v>3024</v>
      </c>
      <c r="G755" s="112">
        <v>2</v>
      </c>
      <c r="H755" s="114" t="s">
        <v>2709</v>
      </c>
      <c r="I755" s="112">
        <f t="shared" si="180"/>
        <v>3</v>
      </c>
      <c r="J755" s="112">
        <f t="shared" si="181"/>
        <v>3</v>
      </c>
      <c r="K755" s="115" t="s">
        <v>2862</v>
      </c>
      <c r="L755" s="115" t="s">
        <v>3187</v>
      </c>
      <c r="M755" s="115" t="s">
        <v>3188</v>
      </c>
      <c r="N755" s="115">
        <v>12000</v>
      </c>
      <c r="O755" s="112">
        <v>3</v>
      </c>
      <c r="P755" s="116" t="s">
        <v>2837</v>
      </c>
      <c r="Q755" s="112" t="str">
        <f t="shared" si="176"/>
        <v/>
      </c>
      <c r="R755" s="112" t="str">
        <f t="shared" si="177"/>
        <v/>
      </c>
      <c r="S755" s="112" t="str">
        <f t="shared" si="182"/>
        <v/>
      </c>
      <c r="T755" s="112" t="str">
        <f t="shared" si="183"/>
        <v/>
      </c>
      <c r="U755" s="112" t="str">
        <f t="shared" si="184"/>
        <v/>
      </c>
      <c r="V755" s="112" t="str">
        <f t="shared" si="185"/>
        <v/>
      </c>
      <c r="W755" s="112" t="str">
        <f t="shared" si="186"/>
        <v/>
      </c>
      <c r="X755" s="112" t="str">
        <f t="shared" si="178"/>
        <v/>
      </c>
      <c r="Y755" s="112" t="str">
        <f t="shared" si="179"/>
        <v/>
      </c>
      <c r="Z755" s="112" t="str">
        <f t="shared" si="187"/>
        <v/>
      </c>
      <c r="AA755" s="112" t="str">
        <f t="shared" si="188"/>
        <v/>
      </c>
      <c r="AB755" s="112" t="str">
        <f t="shared" si="189"/>
        <v/>
      </c>
      <c r="AC755" s="112" t="str">
        <f t="shared" si="190"/>
        <v/>
      </c>
      <c r="AD755" s="112" t="str">
        <f t="shared" si="191"/>
        <v/>
      </c>
    </row>
    <row r="756" spans="1:30" x14ac:dyDescent="0.2">
      <c r="A756" s="112" t="str">
        <f>IF(SUM(Q756:R756)=1,1+MAX($A$1:A755),"")</f>
        <v/>
      </c>
      <c r="B756" s="112" t="str">
        <f>IF(SUM(X756:Y756)=1,1+MAX($B$1:B755),"")</f>
        <v/>
      </c>
      <c r="C756" s="112" t="str">
        <f>IF(SUM(Q756:R756,X756:Y756)=2,1+MAX($C$1:C755),"")</f>
        <v/>
      </c>
      <c r="D756" s="113">
        <v>21351</v>
      </c>
      <c r="E756" s="112">
        <v>1958</v>
      </c>
      <c r="F756" s="112" t="s">
        <v>3024</v>
      </c>
      <c r="G756" s="112">
        <v>2</v>
      </c>
      <c r="H756" s="114" t="s">
        <v>2541</v>
      </c>
      <c r="I756" s="112">
        <f t="shared" si="180"/>
        <v>2</v>
      </c>
      <c r="J756" s="112">
        <f t="shared" si="181"/>
        <v>1</v>
      </c>
      <c r="K756" s="115" t="s">
        <v>2717</v>
      </c>
      <c r="L756" s="115" t="s">
        <v>3189</v>
      </c>
      <c r="M756" s="115" t="s">
        <v>3170</v>
      </c>
      <c r="N756" s="115">
        <v>13500</v>
      </c>
      <c r="O756" s="112">
        <v>2</v>
      </c>
      <c r="P756" s="116" t="s">
        <v>2626</v>
      </c>
      <c r="Q756" s="112" t="str">
        <f t="shared" si="176"/>
        <v/>
      </c>
      <c r="R756" s="112" t="str">
        <f t="shared" si="177"/>
        <v/>
      </c>
      <c r="S756" s="112" t="str">
        <f t="shared" si="182"/>
        <v/>
      </c>
      <c r="T756" s="112" t="str">
        <f t="shared" si="183"/>
        <v/>
      </c>
      <c r="U756" s="112" t="str">
        <f t="shared" si="184"/>
        <v/>
      </c>
      <c r="V756" s="112" t="str">
        <f t="shared" si="185"/>
        <v/>
      </c>
      <c r="W756" s="112" t="str">
        <f t="shared" si="186"/>
        <v/>
      </c>
      <c r="X756" s="112" t="str">
        <f t="shared" si="178"/>
        <v/>
      </c>
      <c r="Y756" s="112" t="str">
        <f t="shared" si="179"/>
        <v/>
      </c>
      <c r="Z756" s="112" t="str">
        <f t="shared" si="187"/>
        <v/>
      </c>
      <c r="AA756" s="112" t="str">
        <f t="shared" si="188"/>
        <v/>
      </c>
      <c r="AB756" s="112" t="str">
        <f t="shared" si="189"/>
        <v/>
      </c>
      <c r="AC756" s="112" t="str">
        <f t="shared" si="190"/>
        <v/>
      </c>
      <c r="AD756" s="112" t="str">
        <f t="shared" si="191"/>
        <v/>
      </c>
    </row>
    <row r="757" spans="1:30" x14ac:dyDescent="0.2">
      <c r="A757" s="112" t="str">
        <f>IF(SUM(Q757:R757)=1,1+MAX($A$1:A756),"")</f>
        <v/>
      </c>
      <c r="B757" s="112">
        <f>IF(SUM(X757:Y757)=1,1+MAX($B$1:B756),"")</f>
        <v>75</v>
      </c>
      <c r="C757" s="112" t="str">
        <f>IF(SUM(Q757:R757,X757:Y757)=2,1+MAX($C$1:C756),"")</f>
        <v/>
      </c>
      <c r="D757" s="113">
        <v>21351</v>
      </c>
      <c r="E757" s="112">
        <v>1958</v>
      </c>
      <c r="F757" s="112" t="s">
        <v>3035</v>
      </c>
      <c r="G757" s="112">
        <v>1</v>
      </c>
      <c r="H757" s="114" t="s">
        <v>1134</v>
      </c>
      <c r="I757" s="112">
        <f t="shared" si="180"/>
        <v>1</v>
      </c>
      <c r="J757" s="112">
        <f t="shared" si="181"/>
        <v>6</v>
      </c>
      <c r="K757" s="115" t="s">
        <v>2648</v>
      </c>
      <c r="L757" s="115" t="s">
        <v>2763</v>
      </c>
      <c r="M757" s="115" t="s">
        <v>3190</v>
      </c>
      <c r="N757" s="115">
        <v>16418</v>
      </c>
      <c r="O757" s="112">
        <v>2</v>
      </c>
      <c r="P757" s="116" t="s">
        <v>2873</v>
      </c>
      <c r="Q757" s="112" t="str">
        <f t="shared" si="176"/>
        <v/>
      </c>
      <c r="R757" s="112" t="str">
        <f t="shared" si="177"/>
        <v/>
      </c>
      <c r="S757" s="112" t="str">
        <f t="shared" si="182"/>
        <v/>
      </c>
      <c r="T757" s="112" t="str">
        <f t="shared" si="183"/>
        <v/>
      </c>
      <c r="U757" s="112" t="str">
        <f t="shared" si="184"/>
        <v/>
      </c>
      <c r="V757" s="112" t="str">
        <f t="shared" si="185"/>
        <v/>
      </c>
      <c r="W757" s="112" t="str">
        <f t="shared" si="186"/>
        <v/>
      </c>
      <c r="X757" s="112">
        <f t="shared" si="178"/>
        <v>1</v>
      </c>
      <c r="Y757" s="112" t="str">
        <f t="shared" si="179"/>
        <v/>
      </c>
      <c r="Z757" s="112">
        <f t="shared" si="187"/>
        <v>0</v>
      </c>
      <c r="AA757" s="112">
        <f t="shared" si="188"/>
        <v>0</v>
      </c>
      <c r="AB757" s="112">
        <f t="shared" si="189"/>
        <v>1</v>
      </c>
      <c r="AC757" s="112">
        <f t="shared" si="190"/>
        <v>7</v>
      </c>
      <c r="AD757" s="112">
        <f t="shared" si="191"/>
        <v>-5</v>
      </c>
    </row>
    <row r="758" spans="1:30" x14ac:dyDescent="0.2">
      <c r="A758" s="112" t="str">
        <f>IF(SUM(Q758:R758)=1,1+MAX($A$1:A757),"")</f>
        <v/>
      </c>
      <c r="B758" s="112" t="str">
        <f>IF(SUM(X758:Y758)=1,1+MAX($B$1:B757),"")</f>
        <v/>
      </c>
      <c r="C758" s="112" t="str">
        <f>IF(SUM(Q758:R758,X758:Y758)=2,1+MAX($C$1:C757),"")</f>
        <v/>
      </c>
      <c r="D758" s="113">
        <v>21351</v>
      </c>
      <c r="E758" s="112">
        <v>1958</v>
      </c>
      <c r="F758" s="112" t="s">
        <v>3035</v>
      </c>
      <c r="G758" s="112">
        <v>1</v>
      </c>
      <c r="H758" s="114" t="s">
        <v>2547</v>
      </c>
      <c r="I758" s="112">
        <f t="shared" si="180"/>
        <v>2</v>
      </c>
      <c r="J758" s="112">
        <f t="shared" si="181"/>
        <v>2</v>
      </c>
      <c r="K758" s="115" t="s">
        <v>2715</v>
      </c>
      <c r="L758" s="115" t="s">
        <v>3173</v>
      </c>
      <c r="M758" s="115" t="s">
        <v>3191</v>
      </c>
      <c r="N758" s="115">
        <v>21990</v>
      </c>
      <c r="O758" s="112">
        <v>2</v>
      </c>
      <c r="P758" s="116" t="s">
        <v>2697</v>
      </c>
      <c r="Q758" s="112" t="str">
        <f t="shared" si="176"/>
        <v/>
      </c>
      <c r="R758" s="112" t="str">
        <f t="shared" si="177"/>
        <v/>
      </c>
      <c r="S758" s="112" t="str">
        <f t="shared" si="182"/>
        <v/>
      </c>
      <c r="T758" s="112" t="str">
        <f t="shared" si="183"/>
        <v/>
      </c>
      <c r="U758" s="112" t="str">
        <f t="shared" si="184"/>
        <v/>
      </c>
      <c r="V758" s="112" t="str">
        <f t="shared" si="185"/>
        <v/>
      </c>
      <c r="W758" s="112" t="str">
        <f t="shared" si="186"/>
        <v/>
      </c>
      <c r="X758" s="112" t="str">
        <f t="shared" si="178"/>
        <v/>
      </c>
      <c r="Y758" s="112" t="str">
        <f t="shared" si="179"/>
        <v/>
      </c>
      <c r="Z758" s="112" t="str">
        <f t="shared" si="187"/>
        <v/>
      </c>
      <c r="AA758" s="112" t="str">
        <f t="shared" si="188"/>
        <v/>
      </c>
      <c r="AB758" s="112" t="str">
        <f t="shared" si="189"/>
        <v/>
      </c>
      <c r="AC758" s="112" t="str">
        <f t="shared" si="190"/>
        <v/>
      </c>
      <c r="AD758" s="112" t="str">
        <f t="shared" si="191"/>
        <v/>
      </c>
    </row>
    <row r="759" spans="1:30" x14ac:dyDescent="0.2">
      <c r="A759" s="112" t="str">
        <f>IF(SUM(Q759:R759)=1,1+MAX($A$1:A758),"")</f>
        <v/>
      </c>
      <c r="B759" s="112" t="str">
        <f>IF(SUM(X759:Y759)=1,1+MAX($B$1:B758),"")</f>
        <v/>
      </c>
      <c r="C759" s="112" t="str">
        <f>IF(SUM(Q759:R759,X759:Y759)=2,1+MAX($C$1:C758),"")</f>
        <v/>
      </c>
      <c r="D759" s="113">
        <v>21348</v>
      </c>
      <c r="E759" s="112">
        <v>1958</v>
      </c>
      <c r="F759" s="112" t="s">
        <v>3033</v>
      </c>
      <c r="G759" s="112">
        <v>3</v>
      </c>
      <c r="H759" s="114" t="s">
        <v>2725</v>
      </c>
      <c r="I759" s="112">
        <f t="shared" si="180"/>
        <v>1</v>
      </c>
      <c r="J759" s="112">
        <f t="shared" si="181"/>
        <v>2</v>
      </c>
      <c r="K759" s="115" t="s">
        <v>2549</v>
      </c>
      <c r="L759" s="115" t="s">
        <v>3167</v>
      </c>
      <c r="M759" s="115" t="s">
        <v>3192</v>
      </c>
      <c r="N759" s="115">
        <v>40000</v>
      </c>
      <c r="O759" s="112">
        <v>2</v>
      </c>
      <c r="P759" s="116" t="s">
        <v>2638</v>
      </c>
      <c r="Q759" s="112" t="str">
        <f t="shared" si="176"/>
        <v/>
      </c>
      <c r="R759" s="112" t="str">
        <f t="shared" si="177"/>
        <v/>
      </c>
      <c r="S759" s="112" t="str">
        <f t="shared" si="182"/>
        <v/>
      </c>
      <c r="T759" s="112" t="str">
        <f t="shared" si="183"/>
        <v/>
      </c>
      <c r="U759" s="112" t="str">
        <f t="shared" si="184"/>
        <v/>
      </c>
      <c r="V759" s="112" t="str">
        <f t="shared" si="185"/>
        <v/>
      </c>
      <c r="W759" s="112" t="str">
        <f t="shared" si="186"/>
        <v/>
      </c>
      <c r="X759" s="112" t="str">
        <f t="shared" si="178"/>
        <v/>
      </c>
      <c r="Y759" s="112" t="str">
        <f t="shared" si="179"/>
        <v/>
      </c>
      <c r="Z759" s="112" t="str">
        <f t="shared" si="187"/>
        <v/>
      </c>
      <c r="AA759" s="112" t="str">
        <f t="shared" si="188"/>
        <v/>
      </c>
      <c r="AB759" s="112" t="str">
        <f t="shared" si="189"/>
        <v/>
      </c>
      <c r="AC759" s="112" t="str">
        <f t="shared" si="190"/>
        <v/>
      </c>
      <c r="AD759" s="112" t="str">
        <f t="shared" si="191"/>
        <v/>
      </c>
    </row>
    <row r="760" spans="1:30" x14ac:dyDescent="0.2">
      <c r="A760" s="112" t="str">
        <f>IF(SUM(Q760:R760)=1,1+MAX($A$1:A759),"")</f>
        <v/>
      </c>
      <c r="B760" s="112" t="str">
        <f>IF(SUM(X760:Y760)=1,1+MAX($B$1:B759),"")</f>
        <v/>
      </c>
      <c r="C760" s="112" t="str">
        <f>IF(SUM(Q760:R760,X760:Y760)=2,1+MAX($C$1:C759),"")</f>
        <v/>
      </c>
      <c r="D760" s="113">
        <v>21347</v>
      </c>
      <c r="E760" s="112">
        <v>1958</v>
      </c>
      <c r="F760" s="112" t="s">
        <v>3020</v>
      </c>
      <c r="G760" s="112">
        <v>4</v>
      </c>
      <c r="H760" s="114" t="s">
        <v>2623</v>
      </c>
      <c r="I760" s="112">
        <f t="shared" si="180"/>
        <v>0</v>
      </c>
      <c r="J760" s="112">
        <f t="shared" si="181"/>
        <v>2</v>
      </c>
      <c r="K760" s="115" t="s">
        <v>2720</v>
      </c>
      <c r="L760" s="115" t="s">
        <v>3182</v>
      </c>
      <c r="M760" s="115" t="s">
        <v>3193</v>
      </c>
      <c r="N760" s="115">
        <v>21239</v>
      </c>
      <c r="O760" s="112">
        <v>2</v>
      </c>
      <c r="P760" s="116" t="s">
        <v>2687</v>
      </c>
      <c r="Q760" s="112" t="str">
        <f t="shared" si="176"/>
        <v/>
      </c>
      <c r="R760" s="112" t="str">
        <f t="shared" si="177"/>
        <v/>
      </c>
      <c r="S760" s="112" t="str">
        <f t="shared" si="182"/>
        <v/>
      </c>
      <c r="T760" s="112" t="str">
        <f t="shared" si="183"/>
        <v/>
      </c>
      <c r="U760" s="112" t="str">
        <f t="shared" si="184"/>
        <v/>
      </c>
      <c r="V760" s="112" t="str">
        <f t="shared" si="185"/>
        <v/>
      </c>
      <c r="W760" s="112" t="str">
        <f t="shared" si="186"/>
        <v/>
      </c>
      <c r="X760" s="112" t="str">
        <f t="shared" si="178"/>
        <v/>
      </c>
      <c r="Y760" s="112" t="str">
        <f t="shared" si="179"/>
        <v/>
      </c>
      <c r="Z760" s="112" t="str">
        <f t="shared" si="187"/>
        <v/>
      </c>
      <c r="AA760" s="112" t="str">
        <f t="shared" si="188"/>
        <v/>
      </c>
      <c r="AB760" s="112" t="str">
        <f t="shared" si="189"/>
        <v/>
      </c>
      <c r="AC760" s="112" t="str">
        <f t="shared" si="190"/>
        <v/>
      </c>
      <c r="AD760" s="112" t="str">
        <f t="shared" si="191"/>
        <v/>
      </c>
    </row>
    <row r="761" spans="1:30" x14ac:dyDescent="0.2">
      <c r="A761" s="112">
        <f>IF(SUM(Q761:R761)=1,1+MAX($A$1:A760),"")</f>
        <v>55</v>
      </c>
      <c r="B761" s="112" t="str">
        <f>IF(SUM(X761:Y761)=1,1+MAX($B$1:B760),"")</f>
        <v/>
      </c>
      <c r="C761" s="112" t="str">
        <f>IF(SUM(Q761:R761,X761:Y761)=2,1+MAX($C$1:C760),"")</f>
        <v/>
      </c>
      <c r="D761" s="113">
        <v>21347</v>
      </c>
      <c r="E761" s="112">
        <v>1958</v>
      </c>
      <c r="F761" s="112" t="s">
        <v>3020</v>
      </c>
      <c r="G761" s="112">
        <v>4</v>
      </c>
      <c r="H761" s="114" t="s">
        <v>1442</v>
      </c>
      <c r="I761" s="112">
        <f t="shared" si="180"/>
        <v>0</v>
      </c>
      <c r="J761" s="112">
        <f t="shared" si="181"/>
        <v>0</v>
      </c>
      <c r="K761" s="115" t="s">
        <v>2545</v>
      </c>
      <c r="L761" s="115" t="s">
        <v>3169</v>
      </c>
      <c r="M761" s="115" t="s">
        <v>3180</v>
      </c>
      <c r="N761" s="115">
        <v>40895</v>
      </c>
      <c r="O761" s="112">
        <v>2</v>
      </c>
      <c r="P761" s="116" t="s">
        <v>2613</v>
      </c>
      <c r="Q761" s="112" t="str">
        <f t="shared" si="176"/>
        <v/>
      </c>
      <c r="R761" s="112">
        <f t="shared" si="177"/>
        <v>1</v>
      </c>
      <c r="S761" s="112">
        <f t="shared" si="182"/>
        <v>0</v>
      </c>
      <c r="T761" s="112">
        <f t="shared" si="183"/>
        <v>1</v>
      </c>
      <c r="U761" s="112">
        <f t="shared" si="184"/>
        <v>0</v>
      </c>
      <c r="V761" s="112">
        <f t="shared" si="185"/>
        <v>0</v>
      </c>
      <c r="W761" s="112">
        <f t="shared" si="186"/>
        <v>0</v>
      </c>
      <c r="X761" s="112" t="str">
        <f t="shared" si="178"/>
        <v/>
      </c>
      <c r="Y761" s="112" t="str">
        <f t="shared" si="179"/>
        <v/>
      </c>
      <c r="Z761" s="112" t="str">
        <f t="shared" si="187"/>
        <v/>
      </c>
      <c r="AA761" s="112" t="str">
        <f t="shared" si="188"/>
        <v/>
      </c>
      <c r="AB761" s="112" t="str">
        <f t="shared" si="189"/>
        <v/>
      </c>
      <c r="AC761" s="112" t="str">
        <f t="shared" si="190"/>
        <v/>
      </c>
      <c r="AD761" s="112" t="str">
        <f t="shared" si="191"/>
        <v/>
      </c>
    </row>
    <row r="762" spans="1:30" x14ac:dyDescent="0.2">
      <c r="A762" s="112" t="str">
        <f>IF(SUM(Q762:R762)=1,1+MAX($A$1:A761),"")</f>
        <v/>
      </c>
      <c r="B762" s="112" t="str">
        <f>IF(SUM(X762:Y762)=1,1+MAX($B$1:B761),"")</f>
        <v/>
      </c>
      <c r="C762" s="112" t="str">
        <f>IF(SUM(Q762:R762,X762:Y762)=2,1+MAX($C$1:C761),"")</f>
        <v/>
      </c>
      <c r="D762" s="113">
        <v>21347</v>
      </c>
      <c r="E762" s="112">
        <v>1958</v>
      </c>
      <c r="F762" s="112" t="s">
        <v>3033</v>
      </c>
      <c r="G762" s="112">
        <v>3</v>
      </c>
      <c r="H762" s="114" t="s">
        <v>1061</v>
      </c>
      <c r="I762" s="112">
        <f t="shared" si="180"/>
        <v>1</v>
      </c>
      <c r="J762" s="112">
        <f t="shared" si="181"/>
        <v>1</v>
      </c>
      <c r="K762" s="115" t="s">
        <v>3175</v>
      </c>
      <c r="L762" s="115" t="s">
        <v>3167</v>
      </c>
      <c r="M762" s="115" t="s">
        <v>3194</v>
      </c>
      <c r="N762" s="115">
        <v>25000</v>
      </c>
      <c r="O762" s="112">
        <v>2</v>
      </c>
      <c r="P762" s="116" t="s">
        <v>2645</v>
      </c>
      <c r="Q762" s="112" t="str">
        <f t="shared" si="176"/>
        <v/>
      </c>
      <c r="R762" s="112" t="str">
        <f t="shared" si="177"/>
        <v/>
      </c>
      <c r="S762" s="112" t="str">
        <f t="shared" si="182"/>
        <v/>
      </c>
      <c r="T762" s="112" t="str">
        <f t="shared" si="183"/>
        <v/>
      </c>
      <c r="U762" s="112" t="str">
        <f t="shared" si="184"/>
        <v/>
      </c>
      <c r="V762" s="112" t="str">
        <f t="shared" si="185"/>
        <v/>
      </c>
      <c r="W762" s="112" t="str">
        <f t="shared" si="186"/>
        <v/>
      </c>
      <c r="X762" s="112" t="str">
        <f t="shared" si="178"/>
        <v/>
      </c>
      <c r="Y762" s="112" t="str">
        <f t="shared" si="179"/>
        <v/>
      </c>
      <c r="Z762" s="112" t="str">
        <f t="shared" si="187"/>
        <v/>
      </c>
      <c r="AA762" s="112" t="str">
        <f t="shared" si="188"/>
        <v/>
      </c>
      <c r="AB762" s="112" t="str">
        <f t="shared" si="189"/>
        <v/>
      </c>
      <c r="AC762" s="112" t="str">
        <f t="shared" si="190"/>
        <v/>
      </c>
      <c r="AD762" s="112" t="str">
        <f t="shared" si="191"/>
        <v/>
      </c>
    </row>
    <row r="763" spans="1:30" x14ac:dyDescent="0.2">
      <c r="A763" s="112" t="str">
        <f>IF(SUM(Q763:R763)=1,1+MAX($A$1:A762),"")</f>
        <v/>
      </c>
      <c r="B763" s="112" t="str">
        <f>IF(SUM(X763:Y763)=1,1+MAX($B$1:B762),"")</f>
        <v/>
      </c>
      <c r="C763" s="112" t="str">
        <f>IF(SUM(Q763:R763,X763:Y763)=2,1+MAX($C$1:C762),"")</f>
        <v/>
      </c>
      <c r="D763" s="113">
        <v>21347</v>
      </c>
      <c r="E763" s="112">
        <v>1958</v>
      </c>
      <c r="F763" s="112" t="s">
        <v>3024</v>
      </c>
      <c r="G763" s="112">
        <v>2</v>
      </c>
      <c r="H763" s="114" t="s">
        <v>2709</v>
      </c>
      <c r="I763" s="112">
        <f t="shared" si="180"/>
        <v>3</v>
      </c>
      <c r="J763" s="112">
        <f t="shared" si="181"/>
        <v>2</v>
      </c>
      <c r="K763" s="115" t="s">
        <v>2717</v>
      </c>
      <c r="L763" s="115" t="s">
        <v>3178</v>
      </c>
      <c r="M763" s="115" t="s">
        <v>3195</v>
      </c>
      <c r="N763" s="115">
        <v>12000</v>
      </c>
      <c r="O763" s="112">
        <v>3</v>
      </c>
      <c r="P763" s="116" t="s">
        <v>2664</v>
      </c>
      <c r="Q763" s="112" t="str">
        <f t="shared" si="176"/>
        <v/>
      </c>
      <c r="R763" s="112" t="str">
        <f t="shared" si="177"/>
        <v/>
      </c>
      <c r="S763" s="112" t="str">
        <f t="shared" si="182"/>
        <v/>
      </c>
      <c r="T763" s="112" t="str">
        <f t="shared" si="183"/>
        <v/>
      </c>
      <c r="U763" s="112" t="str">
        <f t="shared" si="184"/>
        <v/>
      </c>
      <c r="V763" s="112" t="str">
        <f t="shared" si="185"/>
        <v/>
      </c>
      <c r="W763" s="112" t="str">
        <f t="shared" si="186"/>
        <v/>
      </c>
      <c r="X763" s="112" t="str">
        <f t="shared" si="178"/>
        <v/>
      </c>
      <c r="Y763" s="112" t="str">
        <f t="shared" si="179"/>
        <v/>
      </c>
      <c r="Z763" s="112" t="str">
        <f t="shared" si="187"/>
        <v/>
      </c>
      <c r="AA763" s="112" t="str">
        <f t="shared" si="188"/>
        <v/>
      </c>
      <c r="AB763" s="112" t="str">
        <f t="shared" si="189"/>
        <v/>
      </c>
      <c r="AC763" s="112" t="str">
        <f t="shared" si="190"/>
        <v/>
      </c>
      <c r="AD763" s="112" t="str">
        <f t="shared" si="191"/>
        <v/>
      </c>
    </row>
    <row r="764" spans="1:30" x14ac:dyDescent="0.2">
      <c r="A764" s="112" t="str">
        <f>IF(SUM(Q764:R764)=1,1+MAX($A$1:A763),"")</f>
        <v/>
      </c>
      <c r="B764" s="112" t="str">
        <f>IF(SUM(X764:Y764)=1,1+MAX($B$1:B763),"")</f>
        <v/>
      </c>
      <c r="C764" s="112" t="str">
        <f>IF(SUM(Q764:R764,X764:Y764)=2,1+MAX($C$1:C763),"")</f>
        <v/>
      </c>
      <c r="D764" s="113">
        <v>21347</v>
      </c>
      <c r="E764" s="112">
        <v>1958</v>
      </c>
      <c r="F764" s="112" t="s">
        <v>3024</v>
      </c>
      <c r="G764" s="112">
        <v>2</v>
      </c>
      <c r="H764" s="114" t="s">
        <v>2541</v>
      </c>
      <c r="I764" s="112">
        <f t="shared" si="180"/>
        <v>2</v>
      </c>
      <c r="J764" s="112">
        <f t="shared" si="181"/>
        <v>3</v>
      </c>
      <c r="K764" s="115" t="s">
        <v>2862</v>
      </c>
      <c r="L764" s="115" t="s">
        <v>3196</v>
      </c>
      <c r="M764" s="115" t="s">
        <v>3197</v>
      </c>
      <c r="N764" s="115">
        <v>12000</v>
      </c>
      <c r="O764" s="112">
        <v>2</v>
      </c>
      <c r="P764" s="116" t="s">
        <v>2706</v>
      </c>
      <c r="Q764" s="112" t="str">
        <f t="shared" si="176"/>
        <v/>
      </c>
      <c r="R764" s="112" t="str">
        <f t="shared" si="177"/>
        <v/>
      </c>
      <c r="S764" s="112" t="str">
        <f t="shared" si="182"/>
        <v/>
      </c>
      <c r="T764" s="112" t="str">
        <f t="shared" si="183"/>
        <v/>
      </c>
      <c r="U764" s="112" t="str">
        <f t="shared" si="184"/>
        <v/>
      </c>
      <c r="V764" s="112" t="str">
        <f t="shared" si="185"/>
        <v/>
      </c>
      <c r="W764" s="112" t="str">
        <f t="shared" si="186"/>
        <v/>
      </c>
      <c r="X764" s="112" t="str">
        <f t="shared" si="178"/>
        <v/>
      </c>
      <c r="Y764" s="112" t="str">
        <f t="shared" si="179"/>
        <v/>
      </c>
      <c r="Z764" s="112" t="str">
        <f t="shared" si="187"/>
        <v/>
      </c>
      <c r="AA764" s="112" t="str">
        <f t="shared" si="188"/>
        <v/>
      </c>
      <c r="AB764" s="112" t="str">
        <f t="shared" si="189"/>
        <v/>
      </c>
      <c r="AC764" s="112" t="str">
        <f t="shared" si="190"/>
        <v/>
      </c>
      <c r="AD764" s="112" t="str">
        <f t="shared" si="191"/>
        <v/>
      </c>
    </row>
    <row r="765" spans="1:30" x14ac:dyDescent="0.2">
      <c r="A765" s="112" t="str">
        <f>IF(SUM(Q765:R765)=1,1+MAX($A$1:A764),"")</f>
        <v/>
      </c>
      <c r="B765" s="112" t="str">
        <f>IF(SUM(X765:Y765)=1,1+MAX($B$1:B764),"")</f>
        <v/>
      </c>
      <c r="C765" s="112" t="str">
        <f>IF(SUM(Q765:R765,X765:Y765)=2,1+MAX($C$1:C764),"")</f>
        <v/>
      </c>
      <c r="D765" s="113">
        <v>21347</v>
      </c>
      <c r="E765" s="112">
        <v>1958</v>
      </c>
      <c r="F765" s="112" t="s">
        <v>3035</v>
      </c>
      <c r="G765" s="112">
        <v>1</v>
      </c>
      <c r="H765" s="114" t="s">
        <v>2648</v>
      </c>
      <c r="I765" s="112">
        <f t="shared" si="180"/>
        <v>2</v>
      </c>
      <c r="J765" s="112">
        <f t="shared" si="181"/>
        <v>2</v>
      </c>
      <c r="K765" s="115" t="s">
        <v>2547</v>
      </c>
      <c r="L765" s="115" t="s">
        <v>2763</v>
      </c>
      <c r="M765" s="115" t="s">
        <v>3190</v>
      </c>
      <c r="N765" s="115">
        <v>25000</v>
      </c>
      <c r="O765" s="112">
        <v>2</v>
      </c>
      <c r="P765" s="116" t="s">
        <v>2697</v>
      </c>
      <c r="Q765" s="112" t="str">
        <f t="shared" si="176"/>
        <v/>
      </c>
      <c r="R765" s="112" t="str">
        <f t="shared" si="177"/>
        <v/>
      </c>
      <c r="S765" s="112" t="str">
        <f t="shared" si="182"/>
        <v/>
      </c>
      <c r="T765" s="112" t="str">
        <f t="shared" si="183"/>
        <v/>
      </c>
      <c r="U765" s="112" t="str">
        <f t="shared" si="184"/>
        <v/>
      </c>
      <c r="V765" s="112" t="str">
        <f t="shared" si="185"/>
        <v/>
      </c>
      <c r="W765" s="112" t="str">
        <f t="shared" si="186"/>
        <v/>
      </c>
      <c r="X765" s="112" t="str">
        <f t="shared" si="178"/>
        <v/>
      </c>
      <c r="Y765" s="112" t="str">
        <f t="shared" si="179"/>
        <v/>
      </c>
      <c r="Z765" s="112" t="str">
        <f t="shared" si="187"/>
        <v/>
      </c>
      <c r="AA765" s="112" t="str">
        <f t="shared" si="188"/>
        <v/>
      </c>
      <c r="AB765" s="112" t="str">
        <f t="shared" si="189"/>
        <v/>
      </c>
      <c r="AC765" s="112" t="str">
        <f t="shared" si="190"/>
        <v/>
      </c>
      <c r="AD765" s="112" t="str">
        <f t="shared" si="191"/>
        <v/>
      </c>
    </row>
    <row r="766" spans="1:30" x14ac:dyDescent="0.2">
      <c r="A766" s="112" t="str">
        <f>IF(SUM(Q766:R766)=1,1+MAX($A$1:A765),"")</f>
        <v/>
      </c>
      <c r="B766" s="112">
        <f>IF(SUM(X766:Y766)=1,1+MAX($B$1:B765),"")</f>
        <v>76</v>
      </c>
      <c r="C766" s="112" t="str">
        <f>IF(SUM(Q766:R766,X766:Y766)=2,1+MAX($C$1:C765),"")</f>
        <v/>
      </c>
      <c r="D766" s="113">
        <v>21347</v>
      </c>
      <c r="E766" s="112">
        <v>1958</v>
      </c>
      <c r="F766" s="112" t="s">
        <v>3035</v>
      </c>
      <c r="G766" s="112">
        <v>1</v>
      </c>
      <c r="H766" s="114" t="s">
        <v>1134</v>
      </c>
      <c r="I766" s="112">
        <f t="shared" si="180"/>
        <v>3</v>
      </c>
      <c r="J766" s="112">
        <f t="shared" si="181"/>
        <v>1</v>
      </c>
      <c r="K766" s="115" t="s">
        <v>2715</v>
      </c>
      <c r="L766" s="115" t="s">
        <v>3198</v>
      </c>
      <c r="M766" s="115" t="s">
        <v>3199</v>
      </c>
      <c r="N766" s="115">
        <v>14174</v>
      </c>
      <c r="O766" s="112">
        <v>2</v>
      </c>
      <c r="P766" s="116" t="s">
        <v>2663</v>
      </c>
      <c r="Q766" s="112" t="str">
        <f t="shared" si="176"/>
        <v/>
      </c>
      <c r="R766" s="112" t="str">
        <f t="shared" si="177"/>
        <v/>
      </c>
      <c r="S766" s="112" t="str">
        <f t="shared" si="182"/>
        <v/>
      </c>
      <c r="T766" s="112" t="str">
        <f t="shared" si="183"/>
        <v/>
      </c>
      <c r="U766" s="112" t="str">
        <f t="shared" si="184"/>
        <v/>
      </c>
      <c r="V766" s="112" t="str">
        <f t="shared" si="185"/>
        <v/>
      </c>
      <c r="W766" s="112" t="str">
        <f t="shared" si="186"/>
        <v/>
      </c>
      <c r="X766" s="112">
        <f t="shared" si="178"/>
        <v>1</v>
      </c>
      <c r="Y766" s="112" t="str">
        <f t="shared" si="179"/>
        <v/>
      </c>
      <c r="Z766" s="112">
        <f t="shared" si="187"/>
        <v>1</v>
      </c>
      <c r="AA766" s="112">
        <f t="shared" si="188"/>
        <v>0</v>
      </c>
      <c r="AB766" s="112">
        <f t="shared" si="189"/>
        <v>0</v>
      </c>
      <c r="AC766" s="112">
        <f t="shared" si="190"/>
        <v>4</v>
      </c>
      <c r="AD766" s="112">
        <f t="shared" si="191"/>
        <v>2</v>
      </c>
    </row>
    <row r="767" spans="1:30" x14ac:dyDescent="0.2">
      <c r="A767" s="112">
        <f>IF(SUM(Q767:R767)=1,1+MAX($A$1:A766),"")</f>
        <v>56</v>
      </c>
      <c r="B767" s="112" t="str">
        <f>IF(SUM(X767:Y767)=1,1+MAX($B$1:B766),"")</f>
        <v/>
      </c>
      <c r="C767" s="112" t="str">
        <f>IF(SUM(Q767:R767,X767:Y767)=2,1+MAX($C$1:C766),"")</f>
        <v/>
      </c>
      <c r="D767" s="113">
        <v>21344</v>
      </c>
      <c r="E767" s="112">
        <v>1958</v>
      </c>
      <c r="F767" s="112" t="s">
        <v>3020</v>
      </c>
      <c r="G767" s="112">
        <v>4</v>
      </c>
      <c r="H767" s="114" t="s">
        <v>2545</v>
      </c>
      <c r="I767" s="112">
        <f t="shared" si="180"/>
        <v>2</v>
      </c>
      <c r="J767" s="112">
        <f t="shared" si="181"/>
        <v>2</v>
      </c>
      <c r="K767" s="115" t="s">
        <v>2720</v>
      </c>
      <c r="L767" s="115" t="s">
        <v>3169</v>
      </c>
      <c r="M767" s="115" t="s">
        <v>3172</v>
      </c>
      <c r="N767" s="115">
        <v>49348</v>
      </c>
      <c r="O767" s="112">
        <v>2</v>
      </c>
      <c r="P767" s="116" t="s">
        <v>2697</v>
      </c>
      <c r="Q767" s="112">
        <f t="shared" si="176"/>
        <v>1</v>
      </c>
      <c r="R767" s="112" t="str">
        <f t="shared" si="177"/>
        <v/>
      </c>
      <c r="S767" s="112">
        <f t="shared" si="182"/>
        <v>0</v>
      </c>
      <c r="T767" s="112">
        <f t="shared" si="183"/>
        <v>1</v>
      </c>
      <c r="U767" s="112">
        <f t="shared" si="184"/>
        <v>0</v>
      </c>
      <c r="V767" s="112">
        <f t="shared" si="185"/>
        <v>4</v>
      </c>
      <c r="W767" s="112">
        <f t="shared" si="186"/>
        <v>0</v>
      </c>
      <c r="X767" s="112" t="str">
        <f t="shared" si="178"/>
        <v/>
      </c>
      <c r="Y767" s="112" t="str">
        <f t="shared" si="179"/>
        <v/>
      </c>
      <c r="Z767" s="112" t="str">
        <f t="shared" si="187"/>
        <v/>
      </c>
      <c r="AA767" s="112" t="str">
        <f t="shared" si="188"/>
        <v/>
      </c>
      <c r="AB767" s="112" t="str">
        <f t="shared" si="189"/>
        <v/>
      </c>
      <c r="AC767" s="112" t="str">
        <f t="shared" si="190"/>
        <v/>
      </c>
      <c r="AD767" s="112" t="str">
        <f t="shared" si="191"/>
        <v/>
      </c>
    </row>
    <row r="768" spans="1:30" x14ac:dyDescent="0.2">
      <c r="A768" s="112" t="str">
        <f>IF(SUM(Q768:R768)=1,1+MAX($A$1:A767),"")</f>
        <v/>
      </c>
      <c r="B768" s="112" t="str">
        <f>IF(SUM(X768:Y768)=1,1+MAX($B$1:B767),"")</f>
        <v/>
      </c>
      <c r="C768" s="112" t="str">
        <f>IF(SUM(Q768:R768,X768:Y768)=2,1+MAX($C$1:C767),"")</f>
        <v/>
      </c>
      <c r="D768" s="113">
        <v>21344</v>
      </c>
      <c r="E768" s="112">
        <v>1958</v>
      </c>
      <c r="F768" s="112" t="s">
        <v>3020</v>
      </c>
      <c r="G768" s="112">
        <v>4</v>
      </c>
      <c r="H768" s="114" t="s">
        <v>2623</v>
      </c>
      <c r="I768" s="112">
        <f t="shared" si="180"/>
        <v>0</v>
      </c>
      <c r="J768" s="112">
        <f t="shared" si="181"/>
        <v>3</v>
      </c>
      <c r="K768" s="115" t="s">
        <v>1442</v>
      </c>
      <c r="L768" s="115" t="s">
        <v>3200</v>
      </c>
      <c r="M768" s="115" t="s">
        <v>3181</v>
      </c>
      <c r="N768" s="115">
        <v>17778</v>
      </c>
      <c r="O768" s="112">
        <v>2</v>
      </c>
      <c r="P768" s="116" t="s">
        <v>2607</v>
      </c>
      <c r="Q768" s="112" t="str">
        <f t="shared" si="176"/>
        <v/>
      </c>
      <c r="R768" s="112" t="str">
        <f t="shared" si="177"/>
        <v/>
      </c>
      <c r="S768" s="112" t="str">
        <f t="shared" si="182"/>
        <v/>
      </c>
      <c r="T768" s="112" t="str">
        <f t="shared" si="183"/>
        <v/>
      </c>
      <c r="U768" s="112" t="str">
        <f t="shared" si="184"/>
        <v/>
      </c>
      <c r="V768" s="112" t="str">
        <f t="shared" si="185"/>
        <v/>
      </c>
      <c r="W768" s="112" t="str">
        <f t="shared" si="186"/>
        <v/>
      </c>
      <c r="X768" s="112" t="str">
        <f t="shared" si="178"/>
        <v/>
      </c>
      <c r="Y768" s="112" t="str">
        <f t="shared" si="179"/>
        <v/>
      </c>
      <c r="Z768" s="112" t="str">
        <f t="shared" si="187"/>
        <v/>
      </c>
      <c r="AA768" s="112" t="str">
        <f t="shared" si="188"/>
        <v/>
      </c>
      <c r="AB768" s="112" t="str">
        <f t="shared" si="189"/>
        <v/>
      </c>
      <c r="AC768" s="112" t="str">
        <f t="shared" si="190"/>
        <v/>
      </c>
      <c r="AD768" s="112" t="str">
        <f t="shared" si="191"/>
        <v/>
      </c>
    </row>
    <row r="769" spans="1:30" x14ac:dyDescent="0.2">
      <c r="A769" s="112" t="str">
        <f>IF(SUM(Q769:R769)=1,1+MAX($A$1:A768),"")</f>
        <v/>
      </c>
      <c r="B769" s="112" t="str">
        <f>IF(SUM(X769:Y769)=1,1+MAX($B$1:B768),"")</f>
        <v/>
      </c>
      <c r="C769" s="112" t="str">
        <f>IF(SUM(Q769:R769,X769:Y769)=2,1+MAX($C$1:C768),"")</f>
        <v/>
      </c>
      <c r="D769" s="113">
        <v>21344</v>
      </c>
      <c r="E769" s="112">
        <v>1958</v>
      </c>
      <c r="F769" s="112" t="s">
        <v>3033</v>
      </c>
      <c r="G769" s="112">
        <v>3</v>
      </c>
      <c r="H769" s="114" t="s">
        <v>2725</v>
      </c>
      <c r="I769" s="112">
        <f t="shared" si="180"/>
        <v>1</v>
      </c>
      <c r="J769" s="112">
        <f t="shared" si="181"/>
        <v>1</v>
      </c>
      <c r="K769" s="115" t="s">
        <v>3175</v>
      </c>
      <c r="L769" s="115" t="s">
        <v>3184</v>
      </c>
      <c r="M769" s="115" t="s">
        <v>3201</v>
      </c>
      <c r="N769" s="115">
        <v>20000</v>
      </c>
      <c r="O769" s="112">
        <v>2</v>
      </c>
      <c r="P769" s="116" t="s">
        <v>2645</v>
      </c>
      <c r="Q769" s="112" t="str">
        <f t="shared" ref="Q769:Q832" si="192">IF(H769=team1,1,"")</f>
        <v/>
      </c>
      <c r="R769" s="112" t="str">
        <f t="shared" ref="R769:R832" si="193">IF(K769=team1,1,"")</f>
        <v/>
      </c>
      <c r="S769" s="112" t="str">
        <f t="shared" si="182"/>
        <v/>
      </c>
      <c r="T769" s="112" t="str">
        <f t="shared" si="183"/>
        <v/>
      </c>
      <c r="U769" s="112" t="str">
        <f t="shared" si="184"/>
        <v/>
      </c>
      <c r="V769" s="112" t="str">
        <f t="shared" si="185"/>
        <v/>
      </c>
      <c r="W769" s="112" t="str">
        <f t="shared" si="186"/>
        <v/>
      </c>
      <c r="X769" s="112" t="str">
        <f t="shared" ref="X769:X832" si="194">IF(H769=team2,1,"")</f>
        <v/>
      </c>
      <c r="Y769" s="112" t="str">
        <f t="shared" ref="Y769:Y832" si="195">IF(K769=team2,1,"")</f>
        <v/>
      </c>
      <c r="Z769" s="112" t="str">
        <f t="shared" si="187"/>
        <v/>
      </c>
      <c r="AA769" s="112" t="str">
        <f t="shared" si="188"/>
        <v/>
      </c>
      <c r="AB769" s="112" t="str">
        <f t="shared" si="189"/>
        <v/>
      </c>
      <c r="AC769" s="112" t="str">
        <f t="shared" si="190"/>
        <v/>
      </c>
      <c r="AD769" s="112" t="str">
        <f t="shared" si="191"/>
        <v/>
      </c>
    </row>
    <row r="770" spans="1:30" x14ac:dyDescent="0.2">
      <c r="A770" s="112" t="str">
        <f>IF(SUM(Q770:R770)=1,1+MAX($A$1:A769),"")</f>
        <v/>
      </c>
      <c r="B770" s="112" t="str">
        <f>IF(SUM(X770:Y770)=1,1+MAX($B$1:B769),"")</f>
        <v/>
      </c>
      <c r="C770" s="112" t="str">
        <f>IF(SUM(Q770:R770,X770:Y770)=2,1+MAX($C$1:C769),"")</f>
        <v/>
      </c>
      <c r="D770" s="113">
        <v>21344</v>
      </c>
      <c r="E770" s="112">
        <v>1958</v>
      </c>
      <c r="F770" s="112" t="s">
        <v>3033</v>
      </c>
      <c r="G770" s="112">
        <v>3</v>
      </c>
      <c r="H770" s="114" t="s">
        <v>1061</v>
      </c>
      <c r="I770" s="112">
        <f t="shared" ref="I770:I833" si="196">INT(LEFT(P770,FIND("-",P770)-1))</f>
        <v>0</v>
      </c>
      <c r="J770" s="112">
        <f t="shared" ref="J770:J833" si="197">INT(RIGHT(P770,LEN(P770)-FIND("-",P770)-1))</f>
        <v>3</v>
      </c>
      <c r="K770" s="115" t="s">
        <v>2549</v>
      </c>
      <c r="L770" s="115" t="s">
        <v>3167</v>
      </c>
      <c r="M770" s="115" t="s">
        <v>3202</v>
      </c>
      <c r="N770" s="115">
        <v>45000</v>
      </c>
      <c r="O770" s="112">
        <v>2</v>
      </c>
      <c r="P770" s="116" t="s">
        <v>2607</v>
      </c>
      <c r="Q770" s="112" t="str">
        <f t="shared" si="192"/>
        <v/>
      </c>
      <c r="R770" s="112" t="str">
        <f t="shared" si="193"/>
        <v/>
      </c>
      <c r="S770" s="112" t="str">
        <f t="shared" si="182"/>
        <v/>
      </c>
      <c r="T770" s="112" t="str">
        <f t="shared" si="183"/>
        <v/>
      </c>
      <c r="U770" s="112" t="str">
        <f t="shared" si="184"/>
        <v/>
      </c>
      <c r="V770" s="112" t="str">
        <f t="shared" si="185"/>
        <v/>
      </c>
      <c r="W770" s="112" t="str">
        <f t="shared" si="186"/>
        <v/>
      </c>
      <c r="X770" s="112" t="str">
        <f t="shared" si="194"/>
        <v/>
      </c>
      <c r="Y770" s="112" t="str">
        <f t="shared" si="195"/>
        <v/>
      </c>
      <c r="Z770" s="112" t="str">
        <f t="shared" si="187"/>
        <v/>
      </c>
      <c r="AA770" s="112" t="str">
        <f t="shared" si="188"/>
        <v/>
      </c>
      <c r="AB770" s="112" t="str">
        <f t="shared" si="189"/>
        <v/>
      </c>
      <c r="AC770" s="112" t="str">
        <f t="shared" si="190"/>
        <v/>
      </c>
      <c r="AD770" s="112" t="str">
        <f t="shared" si="191"/>
        <v/>
      </c>
    </row>
    <row r="771" spans="1:30" x14ac:dyDescent="0.2">
      <c r="A771" s="112" t="str">
        <f>IF(SUM(Q771:R771)=1,1+MAX($A$1:A770),"")</f>
        <v/>
      </c>
      <c r="B771" s="112" t="str">
        <f>IF(SUM(X771:Y771)=1,1+MAX($B$1:B770),"")</f>
        <v/>
      </c>
      <c r="C771" s="112" t="str">
        <f>IF(SUM(Q771:R771,X771:Y771)=2,1+MAX($C$1:C770),"")</f>
        <v/>
      </c>
      <c r="D771" s="113">
        <v>21344</v>
      </c>
      <c r="E771" s="112">
        <v>1958</v>
      </c>
      <c r="F771" s="112" t="s">
        <v>3024</v>
      </c>
      <c r="G771" s="112">
        <v>2</v>
      </c>
      <c r="H771" s="114" t="s">
        <v>2717</v>
      </c>
      <c r="I771" s="112">
        <f t="shared" si="196"/>
        <v>1</v>
      </c>
      <c r="J771" s="112">
        <f t="shared" si="197"/>
        <v>1</v>
      </c>
      <c r="K771" s="115" t="s">
        <v>2862</v>
      </c>
      <c r="L771" s="115" t="s">
        <v>3196</v>
      </c>
      <c r="M771" s="115" t="s">
        <v>3174</v>
      </c>
      <c r="N771" s="115">
        <v>9500</v>
      </c>
      <c r="O771" s="112">
        <v>2</v>
      </c>
      <c r="P771" s="116" t="s">
        <v>2645</v>
      </c>
      <c r="Q771" s="112" t="str">
        <f t="shared" si="192"/>
        <v/>
      </c>
      <c r="R771" s="112" t="str">
        <f t="shared" si="193"/>
        <v/>
      </c>
      <c r="S771" s="112" t="str">
        <f t="shared" ref="S771:S834" si="198">IF(Q771=1,IF($I771&gt;$J771,1,0),IF(R771=1,IF($I771&lt;$J771,1,0),""))</f>
        <v/>
      </c>
      <c r="T771" s="112" t="str">
        <f t="shared" ref="T771:T834" si="199">IF(Q771=1,IF($I771=$J771,1,0),IF(R771=1,IF($I771=$J771,1,0),""))</f>
        <v/>
      </c>
      <c r="U771" s="112" t="str">
        <f t="shared" ref="U771:U834" si="200">IF(Q771=1,IF($I771&lt;$J771,1,0),IF(R771=1,IF($I771&gt;$J771,1,0),""))</f>
        <v/>
      </c>
      <c r="V771" s="112" t="str">
        <f t="shared" ref="V771:V834" si="201">IF(SUM(Q771:R771)=1,$I771+$J771,"")</f>
        <v/>
      </c>
      <c r="W771" s="112" t="str">
        <f t="shared" ref="W771:W834" si="202">IF(Q771=1,$I771-$J771,IF(R771=1,-($I771-$J771),""))</f>
        <v/>
      </c>
      <c r="X771" s="112" t="str">
        <f t="shared" si="194"/>
        <v/>
      </c>
      <c r="Y771" s="112" t="str">
        <f t="shared" si="195"/>
        <v/>
      </c>
      <c r="Z771" s="112" t="str">
        <f t="shared" ref="Z771:Z834" si="203">IF(X771=1,IF($I771&gt;$J771,1,0),IF(Y771=1,IF($I771&lt;$J771,1,0),""))</f>
        <v/>
      </c>
      <c r="AA771" s="112" t="str">
        <f t="shared" ref="AA771:AA834" si="204">IF(X771=1,IF($I771=$J771,1,0),IF(Y771=1,IF($I771=$J771,1,0),""))</f>
        <v/>
      </c>
      <c r="AB771" s="112" t="str">
        <f t="shared" ref="AB771:AB834" si="205">IF(X771=1,IF($I771&lt;$J771,1,0),IF(Y771=1,IF($I771&gt;$J771,1,0),""))</f>
        <v/>
      </c>
      <c r="AC771" s="112" t="str">
        <f t="shared" ref="AC771:AC834" si="206">IF(SUM(X771:Y771)=1,$I771+$J771,"")</f>
        <v/>
      </c>
      <c r="AD771" s="112" t="str">
        <f t="shared" ref="AD771:AD834" si="207">IF(X771=1,$I771-$J771,IF(Y771=1,-($I771-$J771),""))</f>
        <v/>
      </c>
    </row>
    <row r="772" spans="1:30" x14ac:dyDescent="0.2">
      <c r="A772" s="112" t="str">
        <f>IF(SUM(Q772:R772)=1,1+MAX($A$1:A771),"")</f>
        <v/>
      </c>
      <c r="B772" s="112" t="str">
        <f>IF(SUM(X772:Y772)=1,1+MAX($B$1:B771),"")</f>
        <v/>
      </c>
      <c r="C772" s="112" t="str">
        <f>IF(SUM(Q772:R772,X772:Y772)=2,1+MAX($C$1:C771),"")</f>
        <v/>
      </c>
      <c r="D772" s="113">
        <v>21344</v>
      </c>
      <c r="E772" s="112">
        <v>1958</v>
      </c>
      <c r="F772" s="112" t="s">
        <v>3024</v>
      </c>
      <c r="G772" s="112">
        <v>2</v>
      </c>
      <c r="H772" s="114" t="s">
        <v>2541</v>
      </c>
      <c r="I772" s="112">
        <f t="shared" si="196"/>
        <v>7</v>
      </c>
      <c r="J772" s="112">
        <f t="shared" si="197"/>
        <v>3</v>
      </c>
      <c r="K772" s="115" t="s">
        <v>2709</v>
      </c>
      <c r="L772" s="115" t="s">
        <v>3178</v>
      </c>
      <c r="M772" s="115" t="s">
        <v>3179</v>
      </c>
      <c r="N772" s="115">
        <v>16500</v>
      </c>
      <c r="O772" s="112">
        <v>3</v>
      </c>
      <c r="P772" s="116" t="s">
        <v>3203</v>
      </c>
      <c r="Q772" s="112" t="str">
        <f t="shared" si="192"/>
        <v/>
      </c>
      <c r="R772" s="112" t="str">
        <f t="shared" si="193"/>
        <v/>
      </c>
      <c r="S772" s="112" t="str">
        <f t="shared" si="198"/>
        <v/>
      </c>
      <c r="T772" s="112" t="str">
        <f t="shared" si="199"/>
        <v/>
      </c>
      <c r="U772" s="112" t="str">
        <f t="shared" si="200"/>
        <v/>
      </c>
      <c r="V772" s="112" t="str">
        <f t="shared" si="201"/>
        <v/>
      </c>
      <c r="W772" s="112" t="str">
        <f t="shared" si="202"/>
        <v/>
      </c>
      <c r="X772" s="112" t="str">
        <f t="shared" si="194"/>
        <v/>
      </c>
      <c r="Y772" s="112" t="str">
        <f t="shared" si="195"/>
        <v/>
      </c>
      <c r="Z772" s="112" t="str">
        <f t="shared" si="203"/>
        <v/>
      </c>
      <c r="AA772" s="112" t="str">
        <f t="shared" si="204"/>
        <v/>
      </c>
      <c r="AB772" s="112" t="str">
        <f t="shared" si="205"/>
        <v/>
      </c>
      <c r="AC772" s="112" t="str">
        <f t="shared" si="206"/>
        <v/>
      </c>
      <c r="AD772" s="112" t="str">
        <f t="shared" si="207"/>
        <v/>
      </c>
    </row>
    <row r="773" spans="1:30" x14ac:dyDescent="0.2">
      <c r="A773" s="112" t="str">
        <f>IF(SUM(Q773:R773)=1,1+MAX($A$1:A772),"")</f>
        <v/>
      </c>
      <c r="B773" s="112" t="str">
        <f>IF(SUM(X773:Y773)=1,1+MAX($B$1:B772),"")</f>
        <v/>
      </c>
      <c r="C773" s="112" t="str">
        <f>IF(SUM(Q773:R773,X773:Y773)=2,1+MAX($C$1:C772),"")</f>
        <v/>
      </c>
      <c r="D773" s="113">
        <v>21344</v>
      </c>
      <c r="E773" s="112">
        <v>1958</v>
      </c>
      <c r="F773" s="112" t="s">
        <v>3035</v>
      </c>
      <c r="G773" s="112">
        <v>1</v>
      </c>
      <c r="H773" s="114" t="s">
        <v>2648</v>
      </c>
      <c r="I773" s="112">
        <f t="shared" si="196"/>
        <v>0</v>
      </c>
      <c r="J773" s="112">
        <f t="shared" si="197"/>
        <v>1</v>
      </c>
      <c r="K773" s="115" t="s">
        <v>2715</v>
      </c>
      <c r="L773" s="115" t="s">
        <v>3198</v>
      </c>
      <c r="M773" s="115" t="s">
        <v>3176</v>
      </c>
      <c r="N773" s="115">
        <v>10647</v>
      </c>
      <c r="O773" s="112">
        <v>2</v>
      </c>
      <c r="P773" s="116" t="s">
        <v>2601</v>
      </c>
      <c r="Q773" s="112" t="str">
        <f t="shared" si="192"/>
        <v/>
      </c>
      <c r="R773" s="112" t="str">
        <f t="shared" si="193"/>
        <v/>
      </c>
      <c r="S773" s="112" t="str">
        <f t="shared" si="198"/>
        <v/>
      </c>
      <c r="T773" s="112" t="str">
        <f t="shared" si="199"/>
        <v/>
      </c>
      <c r="U773" s="112" t="str">
        <f t="shared" si="200"/>
        <v/>
      </c>
      <c r="V773" s="112" t="str">
        <f t="shared" si="201"/>
        <v/>
      </c>
      <c r="W773" s="112" t="str">
        <f t="shared" si="202"/>
        <v/>
      </c>
      <c r="X773" s="112" t="str">
        <f t="shared" si="194"/>
        <v/>
      </c>
      <c r="Y773" s="112" t="str">
        <f t="shared" si="195"/>
        <v/>
      </c>
      <c r="Z773" s="112" t="str">
        <f t="shared" si="203"/>
        <v/>
      </c>
      <c r="AA773" s="112" t="str">
        <f t="shared" si="204"/>
        <v/>
      </c>
      <c r="AB773" s="112" t="str">
        <f t="shared" si="205"/>
        <v/>
      </c>
      <c r="AC773" s="112" t="str">
        <f t="shared" si="206"/>
        <v/>
      </c>
      <c r="AD773" s="112" t="str">
        <f t="shared" si="207"/>
        <v/>
      </c>
    </row>
    <row r="774" spans="1:30" x14ac:dyDescent="0.2">
      <c r="A774" s="112" t="str">
        <f>IF(SUM(Q774:R774)=1,1+MAX($A$1:A773),"")</f>
        <v/>
      </c>
      <c r="B774" s="112">
        <f>IF(SUM(X774:Y774)=1,1+MAX($B$1:B773),"")</f>
        <v>77</v>
      </c>
      <c r="C774" s="112" t="str">
        <f>IF(SUM(Q774:R774,X774:Y774)=2,1+MAX($C$1:C773),"")</f>
        <v/>
      </c>
      <c r="D774" s="113">
        <v>21344</v>
      </c>
      <c r="E774" s="112">
        <v>1958</v>
      </c>
      <c r="F774" s="112" t="s">
        <v>3035</v>
      </c>
      <c r="G774" s="112">
        <v>1</v>
      </c>
      <c r="H774" s="114" t="s">
        <v>1134</v>
      </c>
      <c r="I774" s="112">
        <f t="shared" si="196"/>
        <v>1</v>
      </c>
      <c r="J774" s="112">
        <f t="shared" si="197"/>
        <v>3</v>
      </c>
      <c r="K774" s="115" t="s">
        <v>2547</v>
      </c>
      <c r="L774" s="115" t="s">
        <v>3173</v>
      </c>
      <c r="M774" s="115" t="s">
        <v>3177</v>
      </c>
      <c r="N774" s="115">
        <v>31156</v>
      </c>
      <c r="O774" s="112">
        <v>2</v>
      </c>
      <c r="P774" s="116" t="s">
        <v>2691</v>
      </c>
      <c r="Q774" s="112" t="str">
        <f t="shared" si="192"/>
        <v/>
      </c>
      <c r="R774" s="112" t="str">
        <f t="shared" si="193"/>
        <v/>
      </c>
      <c r="S774" s="112" t="str">
        <f t="shared" si="198"/>
        <v/>
      </c>
      <c r="T774" s="112" t="str">
        <f t="shared" si="199"/>
        <v/>
      </c>
      <c r="U774" s="112" t="str">
        <f t="shared" si="200"/>
        <v/>
      </c>
      <c r="V774" s="112" t="str">
        <f t="shared" si="201"/>
        <v/>
      </c>
      <c r="W774" s="112" t="str">
        <f t="shared" si="202"/>
        <v/>
      </c>
      <c r="X774" s="112">
        <f t="shared" si="194"/>
        <v>1</v>
      </c>
      <c r="Y774" s="112" t="str">
        <f t="shared" si="195"/>
        <v/>
      </c>
      <c r="Z774" s="112">
        <f t="shared" si="203"/>
        <v>0</v>
      </c>
      <c r="AA774" s="112">
        <f t="shared" si="204"/>
        <v>0</v>
      </c>
      <c r="AB774" s="112">
        <f t="shared" si="205"/>
        <v>1</v>
      </c>
      <c r="AC774" s="112">
        <f t="shared" si="206"/>
        <v>4</v>
      </c>
      <c r="AD774" s="112">
        <f t="shared" si="207"/>
        <v>-2</v>
      </c>
    </row>
    <row r="775" spans="1:30" x14ac:dyDescent="0.2">
      <c r="A775" s="112" t="str">
        <f>IF(SUM(Q775:R775)=1,1+MAX($A$1:A774),"")</f>
        <v/>
      </c>
      <c r="B775" s="112" t="str">
        <f>IF(SUM(X775:Y775)=1,1+MAX($B$1:B774),"")</f>
        <v/>
      </c>
      <c r="C775" s="112" t="str">
        <f>IF(SUM(Q775:R775,X775:Y775)=2,1+MAX($C$1:C774),"")</f>
        <v/>
      </c>
      <c r="D775" s="113">
        <v>19909</v>
      </c>
      <c r="E775" s="112">
        <v>1954</v>
      </c>
      <c r="F775" s="112" t="s">
        <v>2597</v>
      </c>
      <c r="H775" s="114" t="s">
        <v>2547</v>
      </c>
      <c r="I775" s="112">
        <f t="shared" si="196"/>
        <v>3</v>
      </c>
      <c r="J775" s="112">
        <f t="shared" si="197"/>
        <v>2</v>
      </c>
      <c r="K775" s="115" t="s">
        <v>2725</v>
      </c>
      <c r="L775" s="115" t="s">
        <v>3204</v>
      </c>
      <c r="M775" s="115" t="s">
        <v>3205</v>
      </c>
      <c r="N775" s="115">
        <v>60000</v>
      </c>
      <c r="O775" s="112">
        <v>2</v>
      </c>
      <c r="P775" s="116" t="s">
        <v>2664</v>
      </c>
      <c r="Q775" s="112" t="str">
        <f t="shared" si="192"/>
        <v/>
      </c>
      <c r="R775" s="112" t="str">
        <f t="shared" si="193"/>
        <v/>
      </c>
      <c r="S775" s="112" t="str">
        <f t="shared" si="198"/>
        <v/>
      </c>
      <c r="T775" s="112" t="str">
        <f t="shared" si="199"/>
        <v/>
      </c>
      <c r="U775" s="112" t="str">
        <f t="shared" si="200"/>
        <v/>
      </c>
      <c r="V775" s="112" t="str">
        <f t="shared" si="201"/>
        <v/>
      </c>
      <c r="W775" s="112" t="str">
        <f t="shared" si="202"/>
        <v/>
      </c>
      <c r="X775" s="112" t="str">
        <f t="shared" si="194"/>
        <v/>
      </c>
      <c r="Y775" s="112" t="str">
        <f t="shared" si="195"/>
        <v/>
      </c>
      <c r="Z775" s="112" t="str">
        <f t="shared" si="203"/>
        <v/>
      </c>
      <c r="AA775" s="112" t="str">
        <f t="shared" si="204"/>
        <v/>
      </c>
      <c r="AB775" s="112" t="str">
        <f t="shared" si="205"/>
        <v/>
      </c>
      <c r="AC775" s="112" t="str">
        <f t="shared" si="206"/>
        <v/>
      </c>
      <c r="AD775" s="112" t="str">
        <f t="shared" si="207"/>
        <v/>
      </c>
    </row>
    <row r="776" spans="1:30" x14ac:dyDescent="0.2">
      <c r="A776" s="112" t="str">
        <f>IF(SUM(Q776:R776)=1,1+MAX($A$1:A775),"")</f>
        <v/>
      </c>
      <c r="B776" s="112" t="str">
        <f>IF(SUM(X776:Y776)=1,1+MAX($B$1:B775),"")</f>
        <v/>
      </c>
      <c r="C776" s="112" t="str">
        <f>IF(SUM(Q776:R776,X776:Y776)=2,1+MAX($C$1:C775),"")</f>
        <v/>
      </c>
      <c r="D776" s="113">
        <v>19908</v>
      </c>
      <c r="E776" s="112">
        <v>1954</v>
      </c>
      <c r="F776" s="112" t="s">
        <v>2602</v>
      </c>
      <c r="H776" s="114" t="s">
        <v>2623</v>
      </c>
      <c r="I776" s="112">
        <f t="shared" si="196"/>
        <v>3</v>
      </c>
      <c r="J776" s="112">
        <f t="shared" si="197"/>
        <v>1</v>
      </c>
      <c r="K776" s="115" t="s">
        <v>2540</v>
      </c>
      <c r="L776" s="115" t="s">
        <v>3206</v>
      </c>
      <c r="M776" s="115" t="s">
        <v>3207</v>
      </c>
      <c r="N776" s="115">
        <v>35000</v>
      </c>
      <c r="O776" s="112">
        <v>3</v>
      </c>
      <c r="P776" s="116" t="s">
        <v>2663</v>
      </c>
      <c r="Q776" s="112" t="str">
        <f t="shared" si="192"/>
        <v/>
      </c>
      <c r="R776" s="112" t="str">
        <f t="shared" si="193"/>
        <v/>
      </c>
      <c r="S776" s="112" t="str">
        <f t="shared" si="198"/>
        <v/>
      </c>
      <c r="T776" s="112" t="str">
        <f t="shared" si="199"/>
        <v/>
      </c>
      <c r="U776" s="112" t="str">
        <f t="shared" si="200"/>
        <v/>
      </c>
      <c r="V776" s="112" t="str">
        <f t="shared" si="201"/>
        <v/>
      </c>
      <c r="W776" s="112" t="str">
        <f t="shared" si="202"/>
        <v/>
      </c>
      <c r="X776" s="112" t="str">
        <f t="shared" si="194"/>
        <v/>
      </c>
      <c r="Y776" s="112" t="str">
        <f t="shared" si="195"/>
        <v/>
      </c>
      <c r="Z776" s="112" t="str">
        <f t="shared" si="203"/>
        <v/>
      </c>
      <c r="AA776" s="112" t="str">
        <f t="shared" si="204"/>
        <v/>
      </c>
      <c r="AB776" s="112" t="str">
        <f t="shared" si="205"/>
        <v/>
      </c>
      <c r="AC776" s="112" t="str">
        <f t="shared" si="206"/>
        <v/>
      </c>
      <c r="AD776" s="112" t="str">
        <f t="shared" si="207"/>
        <v/>
      </c>
    </row>
    <row r="777" spans="1:30" x14ac:dyDescent="0.2">
      <c r="A777" s="112" t="str">
        <f>IF(SUM(Q777:R777)=1,1+MAX($A$1:A776),"")</f>
        <v/>
      </c>
      <c r="B777" s="112" t="str">
        <f>IF(SUM(X777:Y777)=1,1+MAX($B$1:B776),"")</f>
        <v/>
      </c>
      <c r="C777" s="112" t="str">
        <f>IF(SUM(Q777:R777,X777:Y777)=2,1+MAX($C$1:C776),"")</f>
        <v/>
      </c>
      <c r="D777" s="113">
        <v>19905</v>
      </c>
      <c r="E777" s="112">
        <v>1954</v>
      </c>
      <c r="F777" s="112" t="s">
        <v>2609</v>
      </c>
      <c r="H777" s="114" t="s">
        <v>2623</v>
      </c>
      <c r="I777" s="112">
        <f t="shared" si="196"/>
        <v>1</v>
      </c>
      <c r="J777" s="112">
        <f t="shared" si="197"/>
        <v>6</v>
      </c>
      <c r="K777" s="115" t="s">
        <v>2547</v>
      </c>
      <c r="L777" s="115" t="s">
        <v>3208</v>
      </c>
      <c r="M777" s="115" t="s">
        <v>3209</v>
      </c>
      <c r="N777" s="115">
        <v>58000</v>
      </c>
      <c r="O777" s="112">
        <v>2</v>
      </c>
      <c r="P777" s="116" t="s">
        <v>2873</v>
      </c>
      <c r="Q777" s="112" t="str">
        <f t="shared" si="192"/>
        <v/>
      </c>
      <c r="R777" s="112" t="str">
        <f t="shared" si="193"/>
        <v/>
      </c>
      <c r="S777" s="112" t="str">
        <f t="shared" si="198"/>
        <v/>
      </c>
      <c r="T777" s="112" t="str">
        <f t="shared" si="199"/>
        <v/>
      </c>
      <c r="U777" s="112" t="str">
        <f t="shared" si="200"/>
        <v/>
      </c>
      <c r="V777" s="112" t="str">
        <f t="shared" si="201"/>
        <v/>
      </c>
      <c r="W777" s="112" t="str">
        <f t="shared" si="202"/>
        <v/>
      </c>
      <c r="X777" s="112" t="str">
        <f t="shared" si="194"/>
        <v/>
      </c>
      <c r="Y777" s="112" t="str">
        <f t="shared" si="195"/>
        <v/>
      </c>
      <c r="Z777" s="112" t="str">
        <f t="shared" si="203"/>
        <v/>
      </c>
      <c r="AA777" s="112" t="str">
        <f t="shared" si="204"/>
        <v/>
      </c>
      <c r="AB777" s="112" t="str">
        <f t="shared" si="205"/>
        <v/>
      </c>
      <c r="AC777" s="112" t="str">
        <f t="shared" si="206"/>
        <v/>
      </c>
      <c r="AD777" s="112" t="str">
        <f t="shared" si="207"/>
        <v/>
      </c>
    </row>
    <row r="778" spans="1:30" x14ac:dyDescent="0.2">
      <c r="A778" s="112" t="str">
        <f>IF(SUM(Q778:R778)=1,1+MAX($A$1:A777),"")</f>
        <v/>
      </c>
      <c r="B778" s="112" t="str">
        <f>IF(SUM(X778:Y778)=1,1+MAX($B$1:B777),"")</f>
        <v/>
      </c>
      <c r="C778" s="112" t="str">
        <f>IF(SUM(Q778:R778,X778:Y778)=2,1+MAX($C$1:C777),"")</f>
        <v/>
      </c>
      <c r="D778" s="113">
        <v>19905</v>
      </c>
      <c r="E778" s="112">
        <v>1954</v>
      </c>
      <c r="F778" s="112" t="s">
        <v>2609</v>
      </c>
      <c r="H778" s="114" t="s">
        <v>2725</v>
      </c>
      <c r="I778" s="112">
        <f t="shared" si="196"/>
        <v>4</v>
      </c>
      <c r="J778" s="112">
        <f t="shared" si="197"/>
        <v>2</v>
      </c>
      <c r="K778" s="115" t="s">
        <v>2540</v>
      </c>
      <c r="L778" s="115" t="s">
        <v>3210</v>
      </c>
      <c r="M778" s="115" t="s">
        <v>3197</v>
      </c>
      <c r="N778" s="115">
        <v>37000</v>
      </c>
      <c r="O778" s="112">
        <v>3</v>
      </c>
      <c r="P778" s="116" t="s">
        <v>2695</v>
      </c>
      <c r="Q778" s="112" t="str">
        <f t="shared" si="192"/>
        <v/>
      </c>
      <c r="R778" s="112" t="str">
        <f t="shared" si="193"/>
        <v/>
      </c>
      <c r="S778" s="112" t="str">
        <f t="shared" si="198"/>
        <v/>
      </c>
      <c r="T778" s="112" t="str">
        <f t="shared" si="199"/>
        <v/>
      </c>
      <c r="U778" s="112" t="str">
        <f t="shared" si="200"/>
        <v/>
      </c>
      <c r="V778" s="112" t="str">
        <f t="shared" si="201"/>
        <v/>
      </c>
      <c r="W778" s="112" t="str">
        <f t="shared" si="202"/>
        <v/>
      </c>
      <c r="X778" s="112" t="str">
        <f t="shared" si="194"/>
        <v/>
      </c>
      <c r="Y778" s="112" t="str">
        <f t="shared" si="195"/>
        <v/>
      </c>
      <c r="Z778" s="112" t="str">
        <f t="shared" si="203"/>
        <v/>
      </c>
      <c r="AA778" s="112" t="str">
        <f t="shared" si="204"/>
        <v/>
      </c>
      <c r="AB778" s="112" t="str">
        <f t="shared" si="205"/>
        <v/>
      </c>
      <c r="AC778" s="112" t="str">
        <f t="shared" si="206"/>
        <v/>
      </c>
      <c r="AD778" s="112" t="str">
        <f t="shared" si="207"/>
        <v/>
      </c>
    </row>
    <row r="779" spans="1:30" x14ac:dyDescent="0.2">
      <c r="A779" s="112" t="str">
        <f>IF(SUM(Q779:R779)=1,1+MAX($A$1:A778),"")</f>
        <v/>
      </c>
      <c r="B779" s="112" t="str">
        <f>IF(SUM(X779:Y779)=1,1+MAX($B$1:B778),"")</f>
        <v/>
      </c>
      <c r="C779" s="112" t="str">
        <f>IF(SUM(Q779:R779,X779:Y779)=2,1+MAX($C$1:C778),"")</f>
        <v/>
      </c>
      <c r="D779" s="113">
        <v>19902</v>
      </c>
      <c r="E779" s="112">
        <v>1954</v>
      </c>
      <c r="F779" s="112" t="s">
        <v>2618</v>
      </c>
      <c r="H779" s="114" t="s">
        <v>2547</v>
      </c>
      <c r="I779" s="112">
        <f t="shared" si="196"/>
        <v>2</v>
      </c>
      <c r="J779" s="112">
        <f t="shared" si="197"/>
        <v>0</v>
      </c>
      <c r="K779" s="115" t="s">
        <v>2862</v>
      </c>
      <c r="L779" s="115" t="s">
        <v>3211</v>
      </c>
      <c r="M779" s="115" t="s">
        <v>3212</v>
      </c>
      <c r="N779" s="115">
        <v>20000</v>
      </c>
      <c r="O779" s="112">
        <v>2</v>
      </c>
      <c r="P779" s="116" t="s">
        <v>2641</v>
      </c>
      <c r="Q779" s="112" t="str">
        <f t="shared" si="192"/>
        <v/>
      </c>
      <c r="R779" s="112" t="str">
        <f t="shared" si="193"/>
        <v/>
      </c>
      <c r="S779" s="112" t="str">
        <f t="shared" si="198"/>
        <v/>
      </c>
      <c r="T779" s="112" t="str">
        <f t="shared" si="199"/>
        <v/>
      </c>
      <c r="U779" s="112" t="str">
        <f t="shared" si="200"/>
        <v/>
      </c>
      <c r="V779" s="112" t="str">
        <f t="shared" si="201"/>
        <v/>
      </c>
      <c r="W779" s="112" t="str">
        <f t="shared" si="202"/>
        <v/>
      </c>
      <c r="X779" s="112" t="str">
        <f t="shared" si="194"/>
        <v/>
      </c>
      <c r="Y779" s="112" t="str">
        <f t="shared" si="195"/>
        <v/>
      </c>
      <c r="Z779" s="112" t="str">
        <f t="shared" si="203"/>
        <v/>
      </c>
      <c r="AA779" s="112" t="str">
        <f t="shared" si="204"/>
        <v/>
      </c>
      <c r="AB779" s="112" t="str">
        <f t="shared" si="205"/>
        <v/>
      </c>
      <c r="AC779" s="112" t="str">
        <f t="shared" si="206"/>
        <v/>
      </c>
      <c r="AD779" s="112" t="str">
        <f t="shared" si="207"/>
        <v/>
      </c>
    </row>
    <row r="780" spans="1:30" x14ac:dyDescent="0.2">
      <c r="A780" s="112" t="str">
        <f>IF(SUM(Q780:R780)=1,1+MAX($A$1:A779),"")</f>
        <v/>
      </c>
      <c r="B780" s="112" t="str">
        <f>IF(SUM(X780:Y780)=1,1+MAX($B$1:B779),"")</f>
        <v/>
      </c>
      <c r="C780" s="112" t="str">
        <f>IF(SUM(Q780:R780,X780:Y780)=2,1+MAX($C$1:C779),"")</f>
        <v/>
      </c>
      <c r="D780" s="113">
        <v>19902</v>
      </c>
      <c r="E780" s="112">
        <v>1954</v>
      </c>
      <c r="F780" s="112" t="s">
        <v>2618</v>
      </c>
      <c r="H780" s="114" t="s">
        <v>1442</v>
      </c>
      <c r="I780" s="112">
        <f t="shared" si="196"/>
        <v>2</v>
      </c>
      <c r="J780" s="112">
        <f t="shared" si="197"/>
        <v>4</v>
      </c>
      <c r="K780" s="115" t="s">
        <v>2725</v>
      </c>
      <c r="L780" s="115" t="s">
        <v>3204</v>
      </c>
      <c r="M780" s="115" t="s">
        <v>3213</v>
      </c>
      <c r="N780" s="115">
        <v>60000</v>
      </c>
      <c r="O780" s="112">
        <v>2</v>
      </c>
      <c r="P780" s="116" t="s">
        <v>2796</v>
      </c>
      <c r="Q780" s="112" t="str">
        <f t="shared" si="192"/>
        <v/>
      </c>
      <c r="R780" s="112" t="str">
        <f t="shared" si="193"/>
        <v/>
      </c>
      <c r="S780" s="112" t="str">
        <f t="shared" si="198"/>
        <v/>
      </c>
      <c r="T780" s="112" t="str">
        <f t="shared" si="199"/>
        <v/>
      </c>
      <c r="U780" s="112" t="str">
        <f t="shared" si="200"/>
        <v/>
      </c>
      <c r="V780" s="112" t="str">
        <f t="shared" si="201"/>
        <v/>
      </c>
      <c r="W780" s="112" t="str">
        <f t="shared" si="202"/>
        <v/>
      </c>
      <c r="X780" s="112" t="str">
        <f t="shared" si="194"/>
        <v/>
      </c>
      <c r="Y780" s="112" t="str">
        <f t="shared" si="195"/>
        <v/>
      </c>
      <c r="Z780" s="112" t="str">
        <f t="shared" si="203"/>
        <v/>
      </c>
      <c r="AA780" s="112" t="str">
        <f t="shared" si="204"/>
        <v/>
      </c>
      <c r="AB780" s="112" t="str">
        <f t="shared" si="205"/>
        <v/>
      </c>
      <c r="AC780" s="112" t="str">
        <f t="shared" si="206"/>
        <v/>
      </c>
      <c r="AD780" s="112" t="str">
        <f t="shared" si="207"/>
        <v/>
      </c>
    </row>
    <row r="781" spans="1:30" x14ac:dyDescent="0.2">
      <c r="A781" s="112">
        <f>IF(SUM(Q781:R781)=1,1+MAX($A$1:A780),"")</f>
        <v>57</v>
      </c>
      <c r="B781" s="112" t="str">
        <f>IF(SUM(X781:Y781)=1,1+MAX($B$1:B780),"")</f>
        <v/>
      </c>
      <c r="C781" s="112" t="str">
        <f>IF(SUM(Q781:R781,X781:Y781)=2,1+MAX($C$1:C780),"")</f>
        <v/>
      </c>
      <c r="D781" s="113">
        <v>19901</v>
      </c>
      <c r="E781" s="112">
        <v>1954</v>
      </c>
      <c r="F781" s="112" t="s">
        <v>2618</v>
      </c>
      <c r="H781" s="114" t="s">
        <v>2545</v>
      </c>
      <c r="I781" s="112">
        <f t="shared" si="196"/>
        <v>2</v>
      </c>
      <c r="J781" s="112">
        <f t="shared" si="197"/>
        <v>4</v>
      </c>
      <c r="K781" s="115" t="s">
        <v>2540</v>
      </c>
      <c r="L781" s="115" t="s">
        <v>3208</v>
      </c>
      <c r="M781" s="115" t="s">
        <v>3163</v>
      </c>
      <c r="N781" s="115">
        <v>35000</v>
      </c>
      <c r="O781" s="112">
        <v>3</v>
      </c>
      <c r="P781" s="116" t="s">
        <v>2796</v>
      </c>
      <c r="Q781" s="112">
        <f t="shared" si="192"/>
        <v>1</v>
      </c>
      <c r="R781" s="112" t="str">
        <f t="shared" si="193"/>
        <v/>
      </c>
      <c r="S781" s="112">
        <f t="shared" si="198"/>
        <v>0</v>
      </c>
      <c r="T781" s="112">
        <f t="shared" si="199"/>
        <v>0</v>
      </c>
      <c r="U781" s="112">
        <f t="shared" si="200"/>
        <v>1</v>
      </c>
      <c r="V781" s="112">
        <f t="shared" si="201"/>
        <v>6</v>
      </c>
      <c r="W781" s="112">
        <f t="shared" si="202"/>
        <v>-2</v>
      </c>
      <c r="X781" s="112" t="str">
        <f t="shared" si="194"/>
        <v/>
      </c>
      <c r="Y781" s="112" t="str">
        <f t="shared" si="195"/>
        <v/>
      </c>
      <c r="Z781" s="112" t="str">
        <f t="shared" si="203"/>
        <v/>
      </c>
      <c r="AA781" s="112" t="str">
        <f t="shared" si="204"/>
        <v/>
      </c>
      <c r="AB781" s="112" t="str">
        <f t="shared" si="205"/>
        <v/>
      </c>
      <c r="AC781" s="112" t="str">
        <f t="shared" si="206"/>
        <v/>
      </c>
      <c r="AD781" s="112" t="str">
        <f t="shared" si="207"/>
        <v/>
      </c>
    </row>
    <row r="782" spans="1:30" x14ac:dyDescent="0.2">
      <c r="A782" s="112" t="str">
        <f>IF(SUM(Q782:R782)=1,1+MAX($A$1:A781),"")</f>
        <v/>
      </c>
      <c r="B782" s="112" t="str">
        <f>IF(SUM(X782:Y782)=1,1+MAX($B$1:B781),"")</f>
        <v/>
      </c>
      <c r="C782" s="112" t="str">
        <f>IF(SUM(Q782:R782,X782:Y782)=2,1+MAX($C$1:C781),"")</f>
        <v/>
      </c>
      <c r="D782" s="113">
        <v>19901</v>
      </c>
      <c r="E782" s="112">
        <v>1954</v>
      </c>
      <c r="F782" s="112" t="s">
        <v>2618</v>
      </c>
      <c r="H782" s="114" t="s">
        <v>2623</v>
      </c>
      <c r="I782" s="112">
        <f t="shared" si="196"/>
        <v>7</v>
      </c>
      <c r="J782" s="112">
        <f t="shared" si="197"/>
        <v>5</v>
      </c>
      <c r="K782" s="115" t="s">
        <v>2558</v>
      </c>
      <c r="L782" s="115" t="s">
        <v>3210</v>
      </c>
      <c r="M782" s="115" t="s">
        <v>3214</v>
      </c>
      <c r="N782" s="115">
        <v>35000</v>
      </c>
      <c r="O782" s="112">
        <v>2</v>
      </c>
      <c r="P782" s="116" t="s">
        <v>3215</v>
      </c>
      <c r="Q782" s="112" t="str">
        <f t="shared" si="192"/>
        <v/>
      </c>
      <c r="R782" s="112" t="str">
        <f t="shared" si="193"/>
        <v/>
      </c>
      <c r="S782" s="112" t="str">
        <f t="shared" si="198"/>
        <v/>
      </c>
      <c r="T782" s="112" t="str">
        <f t="shared" si="199"/>
        <v/>
      </c>
      <c r="U782" s="112" t="str">
        <f t="shared" si="200"/>
        <v/>
      </c>
      <c r="V782" s="112" t="str">
        <f t="shared" si="201"/>
        <v/>
      </c>
      <c r="W782" s="112" t="str">
        <f t="shared" si="202"/>
        <v/>
      </c>
      <c r="X782" s="112" t="str">
        <f t="shared" si="194"/>
        <v/>
      </c>
      <c r="Y782" s="112" t="str">
        <f t="shared" si="195"/>
        <v/>
      </c>
      <c r="Z782" s="112" t="str">
        <f t="shared" si="203"/>
        <v/>
      </c>
      <c r="AA782" s="112" t="str">
        <f t="shared" si="204"/>
        <v/>
      </c>
      <c r="AB782" s="112" t="str">
        <f t="shared" si="205"/>
        <v/>
      </c>
      <c r="AC782" s="112" t="str">
        <f t="shared" si="206"/>
        <v/>
      </c>
      <c r="AD782" s="112" t="str">
        <f t="shared" si="207"/>
        <v/>
      </c>
    </row>
    <row r="783" spans="1:30" x14ac:dyDescent="0.2">
      <c r="A783" s="112" t="str">
        <f>IF(SUM(Q783:R783)=1,1+MAX($A$1:A782),"")</f>
        <v/>
      </c>
      <c r="B783" s="112" t="str">
        <f>IF(SUM(X783:Y783)=1,1+MAX($B$1:B782),"")</f>
        <v/>
      </c>
      <c r="C783" s="112" t="str">
        <f>IF(SUM(Q783:R783,X783:Y783)=2,1+MAX($C$1:C782),"")</f>
        <v/>
      </c>
      <c r="D783" s="113">
        <v>19898</v>
      </c>
      <c r="E783" s="112">
        <v>1954</v>
      </c>
      <c r="F783" s="112" t="s">
        <v>3020</v>
      </c>
      <c r="G783" s="112">
        <v>4</v>
      </c>
      <c r="H783" s="114" t="s">
        <v>2674</v>
      </c>
      <c r="I783" s="112">
        <f t="shared" si="196"/>
        <v>1</v>
      </c>
      <c r="J783" s="112">
        <f t="shared" si="197"/>
        <v>4</v>
      </c>
      <c r="K783" s="115" t="s">
        <v>2558</v>
      </c>
      <c r="L783" s="115" t="s">
        <v>3208</v>
      </c>
      <c r="M783" s="115" t="s">
        <v>3197</v>
      </c>
      <c r="N783" s="115">
        <v>30000</v>
      </c>
      <c r="O783" s="112">
        <v>2</v>
      </c>
      <c r="P783" s="116" t="s">
        <v>2743</v>
      </c>
      <c r="Q783" s="112" t="str">
        <f t="shared" si="192"/>
        <v/>
      </c>
      <c r="R783" s="112" t="str">
        <f t="shared" si="193"/>
        <v/>
      </c>
      <c r="S783" s="112" t="str">
        <f t="shared" si="198"/>
        <v/>
      </c>
      <c r="T783" s="112" t="str">
        <f t="shared" si="199"/>
        <v/>
      </c>
      <c r="U783" s="112" t="str">
        <f t="shared" si="200"/>
        <v/>
      </c>
      <c r="V783" s="112" t="str">
        <f t="shared" si="201"/>
        <v/>
      </c>
      <c r="W783" s="112" t="str">
        <f t="shared" si="202"/>
        <v/>
      </c>
      <c r="X783" s="112" t="str">
        <f t="shared" si="194"/>
        <v/>
      </c>
      <c r="Y783" s="112" t="str">
        <f t="shared" si="195"/>
        <v/>
      </c>
      <c r="Z783" s="112" t="str">
        <f t="shared" si="203"/>
        <v/>
      </c>
      <c r="AA783" s="112" t="str">
        <f t="shared" si="204"/>
        <v/>
      </c>
      <c r="AB783" s="112" t="str">
        <f t="shared" si="205"/>
        <v/>
      </c>
      <c r="AC783" s="112" t="str">
        <f t="shared" si="206"/>
        <v/>
      </c>
      <c r="AD783" s="112" t="str">
        <f t="shared" si="207"/>
        <v/>
      </c>
    </row>
    <row r="784" spans="1:30" x14ac:dyDescent="0.2">
      <c r="A784" s="112" t="str">
        <f>IF(SUM(Q784:R784)=1,1+MAX($A$1:A783),"")</f>
        <v/>
      </c>
      <c r="B784" s="112" t="str">
        <f>IF(SUM(X784:Y784)=1,1+MAX($B$1:B783),"")</f>
        <v/>
      </c>
      <c r="C784" s="112" t="str">
        <f>IF(SUM(Q784:R784,X784:Y784)=2,1+MAX($C$1:C783),"")</f>
        <v/>
      </c>
      <c r="D784" s="113">
        <v>19898</v>
      </c>
      <c r="E784" s="112">
        <v>1954</v>
      </c>
      <c r="F784" s="112" t="s">
        <v>3024</v>
      </c>
      <c r="G784" s="112">
        <v>2</v>
      </c>
      <c r="H784" s="114" t="s">
        <v>2547</v>
      </c>
      <c r="I784" s="112">
        <f t="shared" si="196"/>
        <v>7</v>
      </c>
      <c r="J784" s="112">
        <f t="shared" si="197"/>
        <v>2</v>
      </c>
      <c r="K784" s="115" t="s">
        <v>2799</v>
      </c>
      <c r="L784" s="115" t="s">
        <v>3206</v>
      </c>
      <c r="M784" s="115" t="s">
        <v>3216</v>
      </c>
      <c r="N784" s="115">
        <v>18000</v>
      </c>
      <c r="O784" s="112">
        <v>2</v>
      </c>
      <c r="P784" s="116" t="s">
        <v>3217</v>
      </c>
      <c r="Q784" s="112" t="str">
        <f t="shared" si="192"/>
        <v/>
      </c>
      <c r="R784" s="112" t="str">
        <f t="shared" si="193"/>
        <v/>
      </c>
      <c r="S784" s="112" t="str">
        <f t="shared" si="198"/>
        <v/>
      </c>
      <c r="T784" s="112" t="str">
        <f t="shared" si="199"/>
        <v/>
      </c>
      <c r="U784" s="112" t="str">
        <f t="shared" si="200"/>
        <v/>
      </c>
      <c r="V784" s="112" t="str">
        <f t="shared" si="201"/>
        <v/>
      </c>
      <c r="W784" s="112" t="str">
        <f t="shared" si="202"/>
        <v/>
      </c>
      <c r="X784" s="112" t="str">
        <f t="shared" si="194"/>
        <v/>
      </c>
      <c r="Y784" s="112" t="str">
        <f t="shared" si="195"/>
        <v/>
      </c>
      <c r="Z784" s="112" t="str">
        <f t="shared" si="203"/>
        <v/>
      </c>
      <c r="AA784" s="112" t="str">
        <f t="shared" si="204"/>
        <v/>
      </c>
      <c r="AB784" s="112" t="str">
        <f t="shared" si="205"/>
        <v/>
      </c>
      <c r="AC784" s="112" t="str">
        <f t="shared" si="206"/>
        <v/>
      </c>
      <c r="AD784" s="112" t="str">
        <f t="shared" si="207"/>
        <v/>
      </c>
    </row>
    <row r="785" spans="1:30" x14ac:dyDescent="0.2">
      <c r="A785" s="112">
        <f>IF(SUM(Q785:R785)=1,1+MAX($A$1:A784),"")</f>
        <v>58</v>
      </c>
      <c r="B785" s="112" t="str">
        <f>IF(SUM(X785:Y785)=1,1+MAX($B$1:B784),"")</f>
        <v/>
      </c>
      <c r="C785" s="112" t="str">
        <f>IF(SUM(Q785:R785,X785:Y785)=2,1+MAX($C$1:C784),"")</f>
        <v/>
      </c>
      <c r="D785" s="113">
        <v>19895</v>
      </c>
      <c r="E785" s="112">
        <v>1954</v>
      </c>
      <c r="F785" s="112" t="s">
        <v>3020</v>
      </c>
      <c r="G785" s="112">
        <v>4</v>
      </c>
      <c r="H785" s="114" t="s">
        <v>2545</v>
      </c>
      <c r="I785" s="112">
        <f t="shared" si="196"/>
        <v>2</v>
      </c>
      <c r="J785" s="112">
        <f t="shared" si="197"/>
        <v>0</v>
      </c>
      <c r="K785" s="115" t="s">
        <v>2558</v>
      </c>
      <c r="L785" s="115" t="s">
        <v>3204</v>
      </c>
      <c r="M785" s="115" t="s">
        <v>3146</v>
      </c>
      <c r="N785" s="115">
        <v>50000</v>
      </c>
      <c r="O785" s="112">
        <v>2</v>
      </c>
      <c r="P785" s="116" t="s">
        <v>2641</v>
      </c>
      <c r="Q785" s="112">
        <f t="shared" si="192"/>
        <v>1</v>
      </c>
      <c r="R785" s="112" t="str">
        <f t="shared" si="193"/>
        <v/>
      </c>
      <c r="S785" s="112">
        <f t="shared" si="198"/>
        <v>1</v>
      </c>
      <c r="T785" s="112">
        <f t="shared" si="199"/>
        <v>0</v>
      </c>
      <c r="U785" s="112">
        <f t="shared" si="200"/>
        <v>0</v>
      </c>
      <c r="V785" s="112">
        <f t="shared" si="201"/>
        <v>2</v>
      </c>
      <c r="W785" s="112">
        <f t="shared" si="202"/>
        <v>2</v>
      </c>
      <c r="X785" s="112" t="str">
        <f t="shared" si="194"/>
        <v/>
      </c>
      <c r="Y785" s="112" t="str">
        <f t="shared" si="195"/>
        <v/>
      </c>
      <c r="Z785" s="112" t="str">
        <f t="shared" si="203"/>
        <v/>
      </c>
      <c r="AA785" s="112" t="str">
        <f t="shared" si="204"/>
        <v/>
      </c>
      <c r="AB785" s="112" t="str">
        <f t="shared" si="205"/>
        <v/>
      </c>
      <c r="AC785" s="112" t="str">
        <f t="shared" si="206"/>
        <v/>
      </c>
      <c r="AD785" s="112" t="str">
        <f t="shared" si="207"/>
        <v/>
      </c>
    </row>
    <row r="786" spans="1:30" x14ac:dyDescent="0.2">
      <c r="A786" s="112" t="str">
        <f>IF(SUM(Q786:R786)=1,1+MAX($A$1:A785),"")</f>
        <v/>
      </c>
      <c r="B786" s="112" t="str">
        <f>IF(SUM(X786:Y786)=1,1+MAX($B$1:B785),"")</f>
        <v/>
      </c>
      <c r="C786" s="112" t="str">
        <f>IF(SUM(Q786:R786,X786:Y786)=2,1+MAX($C$1:C785),"")</f>
        <v/>
      </c>
      <c r="D786" s="113">
        <v>19895</v>
      </c>
      <c r="E786" s="112">
        <v>1954</v>
      </c>
      <c r="F786" s="112" t="s">
        <v>3020</v>
      </c>
      <c r="G786" s="112">
        <v>4</v>
      </c>
      <c r="H786" s="114" t="s">
        <v>2554</v>
      </c>
      <c r="I786" s="112">
        <f t="shared" si="196"/>
        <v>1</v>
      </c>
      <c r="J786" s="112">
        <f t="shared" si="197"/>
        <v>4</v>
      </c>
      <c r="K786" s="115" t="s">
        <v>2674</v>
      </c>
      <c r="L786" s="115" t="s">
        <v>3218</v>
      </c>
      <c r="M786" s="115" t="s">
        <v>3163</v>
      </c>
      <c r="N786" s="115">
        <v>26000</v>
      </c>
      <c r="O786" s="112">
        <v>2</v>
      </c>
      <c r="P786" s="116" t="s">
        <v>2743</v>
      </c>
      <c r="Q786" s="112" t="str">
        <f t="shared" si="192"/>
        <v/>
      </c>
      <c r="R786" s="112" t="str">
        <f t="shared" si="193"/>
        <v/>
      </c>
      <c r="S786" s="112" t="str">
        <f t="shared" si="198"/>
        <v/>
      </c>
      <c r="T786" s="112" t="str">
        <f t="shared" si="199"/>
        <v/>
      </c>
      <c r="U786" s="112" t="str">
        <f t="shared" si="200"/>
        <v/>
      </c>
      <c r="V786" s="112" t="str">
        <f t="shared" si="201"/>
        <v/>
      </c>
      <c r="W786" s="112" t="str">
        <f t="shared" si="202"/>
        <v/>
      </c>
      <c r="X786" s="112" t="str">
        <f t="shared" si="194"/>
        <v/>
      </c>
      <c r="Y786" s="112" t="str">
        <f t="shared" si="195"/>
        <v/>
      </c>
      <c r="Z786" s="112" t="str">
        <f t="shared" si="203"/>
        <v/>
      </c>
      <c r="AA786" s="112" t="str">
        <f t="shared" si="204"/>
        <v/>
      </c>
      <c r="AB786" s="112" t="str">
        <f t="shared" si="205"/>
        <v/>
      </c>
      <c r="AC786" s="112" t="str">
        <f t="shared" si="206"/>
        <v/>
      </c>
      <c r="AD786" s="112" t="str">
        <f t="shared" si="207"/>
        <v/>
      </c>
    </row>
    <row r="787" spans="1:30" x14ac:dyDescent="0.2">
      <c r="A787" s="112" t="str">
        <f>IF(SUM(Q787:R787)=1,1+MAX($A$1:A786),"")</f>
        <v/>
      </c>
      <c r="B787" s="112" t="str">
        <f>IF(SUM(X787:Y787)=1,1+MAX($B$1:B786),"")</f>
        <v/>
      </c>
      <c r="C787" s="112" t="str">
        <f>IF(SUM(Q787:R787,X787:Y787)=2,1+MAX($C$1:C786),"")</f>
        <v/>
      </c>
      <c r="D787" s="113">
        <v>19895</v>
      </c>
      <c r="E787" s="112">
        <v>1954</v>
      </c>
      <c r="F787" s="112" t="s">
        <v>3024</v>
      </c>
      <c r="G787" s="112">
        <v>2</v>
      </c>
      <c r="H787" s="114" t="s">
        <v>2543</v>
      </c>
      <c r="I787" s="112">
        <f t="shared" si="196"/>
        <v>0</v>
      </c>
      <c r="J787" s="112">
        <f t="shared" si="197"/>
        <v>7</v>
      </c>
      <c r="K787" s="115" t="s">
        <v>2799</v>
      </c>
      <c r="L787" s="115" t="s">
        <v>3211</v>
      </c>
      <c r="M787" s="115" t="s">
        <v>3219</v>
      </c>
      <c r="N787" s="115">
        <v>3000</v>
      </c>
      <c r="O787" s="112">
        <v>2</v>
      </c>
      <c r="P787" s="116" t="s">
        <v>2754</v>
      </c>
      <c r="Q787" s="112" t="str">
        <f t="shared" si="192"/>
        <v/>
      </c>
      <c r="R787" s="112" t="str">
        <f t="shared" si="193"/>
        <v/>
      </c>
      <c r="S787" s="112" t="str">
        <f t="shared" si="198"/>
        <v/>
      </c>
      <c r="T787" s="112" t="str">
        <f t="shared" si="199"/>
        <v/>
      </c>
      <c r="U787" s="112" t="str">
        <f t="shared" si="200"/>
        <v/>
      </c>
      <c r="V787" s="112" t="str">
        <f t="shared" si="201"/>
        <v/>
      </c>
      <c r="W787" s="112" t="str">
        <f t="shared" si="202"/>
        <v/>
      </c>
      <c r="X787" s="112" t="str">
        <f t="shared" si="194"/>
        <v/>
      </c>
      <c r="Y787" s="112" t="str">
        <f t="shared" si="195"/>
        <v/>
      </c>
      <c r="Z787" s="112" t="str">
        <f t="shared" si="203"/>
        <v/>
      </c>
      <c r="AA787" s="112" t="str">
        <f t="shared" si="204"/>
        <v/>
      </c>
      <c r="AB787" s="112" t="str">
        <f t="shared" si="205"/>
        <v/>
      </c>
      <c r="AC787" s="112" t="str">
        <f t="shared" si="206"/>
        <v/>
      </c>
      <c r="AD787" s="112" t="str">
        <f t="shared" si="207"/>
        <v/>
      </c>
    </row>
    <row r="788" spans="1:30" x14ac:dyDescent="0.2">
      <c r="A788" s="112" t="str">
        <f>IF(SUM(Q788:R788)=1,1+MAX($A$1:A787),"")</f>
        <v/>
      </c>
      <c r="B788" s="112" t="str">
        <f>IF(SUM(X788:Y788)=1,1+MAX($B$1:B787),"")</f>
        <v/>
      </c>
      <c r="C788" s="112" t="str">
        <f>IF(SUM(Q788:R788,X788:Y788)=2,1+MAX($C$1:C787),"")</f>
        <v/>
      </c>
      <c r="D788" s="113">
        <v>19895</v>
      </c>
      <c r="E788" s="112">
        <v>1954</v>
      </c>
      <c r="F788" s="112" t="s">
        <v>3024</v>
      </c>
      <c r="G788" s="112">
        <v>2</v>
      </c>
      <c r="H788" s="114" t="s">
        <v>2547</v>
      </c>
      <c r="I788" s="112">
        <f t="shared" si="196"/>
        <v>3</v>
      </c>
      <c r="J788" s="112">
        <f t="shared" si="197"/>
        <v>8</v>
      </c>
      <c r="K788" s="115" t="s">
        <v>2725</v>
      </c>
      <c r="L788" s="115" t="s">
        <v>3208</v>
      </c>
      <c r="M788" s="115" t="s">
        <v>3220</v>
      </c>
      <c r="N788" s="115">
        <v>65000</v>
      </c>
      <c r="O788" s="112">
        <v>2</v>
      </c>
      <c r="P788" s="116" t="s">
        <v>3221</v>
      </c>
      <c r="Q788" s="112" t="str">
        <f t="shared" si="192"/>
        <v/>
      </c>
      <c r="R788" s="112" t="str">
        <f t="shared" si="193"/>
        <v/>
      </c>
      <c r="S788" s="112" t="str">
        <f t="shared" si="198"/>
        <v/>
      </c>
      <c r="T788" s="112" t="str">
        <f t="shared" si="199"/>
        <v/>
      </c>
      <c r="U788" s="112" t="str">
        <f t="shared" si="200"/>
        <v/>
      </c>
      <c r="V788" s="112" t="str">
        <f t="shared" si="201"/>
        <v/>
      </c>
      <c r="W788" s="112" t="str">
        <f t="shared" si="202"/>
        <v/>
      </c>
      <c r="X788" s="112" t="str">
        <f t="shared" si="194"/>
        <v/>
      </c>
      <c r="Y788" s="112" t="str">
        <f t="shared" si="195"/>
        <v/>
      </c>
      <c r="Z788" s="112" t="str">
        <f t="shared" si="203"/>
        <v/>
      </c>
      <c r="AA788" s="112" t="str">
        <f t="shared" si="204"/>
        <v/>
      </c>
      <c r="AB788" s="112" t="str">
        <f t="shared" si="205"/>
        <v/>
      </c>
      <c r="AC788" s="112" t="str">
        <f t="shared" si="206"/>
        <v/>
      </c>
      <c r="AD788" s="112" t="str">
        <f t="shared" si="207"/>
        <v/>
      </c>
    </row>
    <row r="789" spans="1:30" x14ac:dyDescent="0.2">
      <c r="A789" s="112" t="str">
        <f>IF(SUM(Q789:R789)=1,1+MAX($A$1:A788),"")</f>
        <v/>
      </c>
      <c r="B789" s="112" t="str">
        <f>IF(SUM(X789:Y789)=1,1+MAX($B$1:B788),"")</f>
        <v/>
      </c>
      <c r="C789" s="112" t="str">
        <f>IF(SUM(Q789:R789,X789:Y789)=2,1+MAX($C$1:C788),"")</f>
        <v/>
      </c>
      <c r="D789" s="113">
        <v>19894</v>
      </c>
      <c r="E789" s="112">
        <v>1954</v>
      </c>
      <c r="F789" s="112" t="s">
        <v>3033</v>
      </c>
      <c r="G789" s="112">
        <v>3</v>
      </c>
      <c r="H789" s="114" t="s">
        <v>2623</v>
      </c>
      <c r="I789" s="112">
        <f t="shared" si="196"/>
        <v>5</v>
      </c>
      <c r="J789" s="112">
        <f t="shared" si="197"/>
        <v>0</v>
      </c>
      <c r="K789" s="115" t="s">
        <v>2648</v>
      </c>
      <c r="L789" s="115" t="s">
        <v>3206</v>
      </c>
      <c r="M789" s="115" t="s">
        <v>3222</v>
      </c>
      <c r="N789" s="115">
        <v>25000</v>
      </c>
      <c r="O789" s="112">
        <v>2</v>
      </c>
      <c r="P789" s="116" t="s">
        <v>2879</v>
      </c>
      <c r="Q789" s="112" t="str">
        <f t="shared" si="192"/>
        <v/>
      </c>
      <c r="R789" s="112" t="str">
        <f t="shared" si="193"/>
        <v/>
      </c>
      <c r="S789" s="112" t="str">
        <f t="shared" si="198"/>
        <v/>
      </c>
      <c r="T789" s="112" t="str">
        <f t="shared" si="199"/>
        <v/>
      </c>
      <c r="U789" s="112" t="str">
        <f t="shared" si="200"/>
        <v/>
      </c>
      <c r="V789" s="112" t="str">
        <f t="shared" si="201"/>
        <v/>
      </c>
      <c r="W789" s="112" t="str">
        <f t="shared" si="202"/>
        <v/>
      </c>
      <c r="X789" s="112" t="str">
        <f t="shared" si="194"/>
        <v/>
      </c>
      <c r="Y789" s="112" t="str">
        <f t="shared" si="195"/>
        <v/>
      </c>
      <c r="Z789" s="112" t="str">
        <f t="shared" si="203"/>
        <v/>
      </c>
      <c r="AA789" s="112" t="str">
        <f t="shared" si="204"/>
        <v/>
      </c>
      <c r="AB789" s="112" t="str">
        <f t="shared" si="205"/>
        <v/>
      </c>
      <c r="AC789" s="112" t="str">
        <f t="shared" si="206"/>
        <v/>
      </c>
      <c r="AD789" s="112" t="str">
        <f t="shared" si="207"/>
        <v/>
      </c>
    </row>
    <row r="790" spans="1:30" x14ac:dyDescent="0.2">
      <c r="A790" s="112" t="str">
        <f>IF(SUM(Q790:R790)=1,1+MAX($A$1:A789),"")</f>
        <v/>
      </c>
      <c r="B790" s="112" t="str">
        <f>IF(SUM(X790:Y790)=1,1+MAX($B$1:B789),"")</f>
        <v/>
      </c>
      <c r="C790" s="112" t="str">
        <f>IF(SUM(Q790:R790,X790:Y790)=2,1+MAX($C$1:C789),"")</f>
        <v/>
      </c>
      <c r="D790" s="113">
        <v>19894</v>
      </c>
      <c r="E790" s="112">
        <v>1954</v>
      </c>
      <c r="F790" s="112" t="s">
        <v>3033</v>
      </c>
      <c r="G790" s="112">
        <v>3</v>
      </c>
      <c r="H790" s="114" t="s">
        <v>2717</v>
      </c>
      <c r="I790" s="112">
        <f t="shared" si="196"/>
        <v>0</v>
      </c>
      <c r="J790" s="112">
        <f t="shared" si="197"/>
        <v>7</v>
      </c>
      <c r="K790" s="115" t="s">
        <v>2540</v>
      </c>
      <c r="L790" s="115" t="s">
        <v>3208</v>
      </c>
      <c r="M790" s="115" t="s">
        <v>3209</v>
      </c>
      <c r="N790" s="115">
        <v>43000</v>
      </c>
      <c r="O790" s="112">
        <v>3</v>
      </c>
      <c r="P790" s="116" t="s">
        <v>2754</v>
      </c>
      <c r="Q790" s="112" t="str">
        <f t="shared" si="192"/>
        <v/>
      </c>
      <c r="R790" s="112" t="str">
        <f t="shared" si="193"/>
        <v/>
      </c>
      <c r="S790" s="112" t="str">
        <f t="shared" si="198"/>
        <v/>
      </c>
      <c r="T790" s="112" t="str">
        <f t="shared" si="199"/>
        <v/>
      </c>
      <c r="U790" s="112" t="str">
        <f t="shared" si="200"/>
        <v/>
      </c>
      <c r="V790" s="112" t="str">
        <f t="shared" si="201"/>
        <v/>
      </c>
      <c r="W790" s="112" t="str">
        <f t="shared" si="202"/>
        <v/>
      </c>
      <c r="X790" s="112" t="str">
        <f t="shared" si="194"/>
        <v/>
      </c>
      <c r="Y790" s="112" t="str">
        <f t="shared" si="195"/>
        <v/>
      </c>
      <c r="Z790" s="112" t="str">
        <f t="shared" si="203"/>
        <v/>
      </c>
      <c r="AA790" s="112" t="str">
        <f t="shared" si="204"/>
        <v/>
      </c>
      <c r="AB790" s="112" t="str">
        <f t="shared" si="205"/>
        <v/>
      </c>
      <c r="AC790" s="112" t="str">
        <f t="shared" si="206"/>
        <v/>
      </c>
      <c r="AD790" s="112" t="str">
        <f t="shared" si="207"/>
        <v/>
      </c>
    </row>
    <row r="791" spans="1:30" x14ac:dyDescent="0.2">
      <c r="A791" s="112" t="str">
        <f>IF(SUM(Q791:R791)=1,1+MAX($A$1:A790),"")</f>
        <v/>
      </c>
      <c r="B791" s="112" t="str">
        <f>IF(SUM(X791:Y791)=1,1+MAX($B$1:B790),"")</f>
        <v/>
      </c>
      <c r="C791" s="112" t="str">
        <f>IF(SUM(Q791:R791,X791:Y791)=2,1+MAX($C$1:C790),"")</f>
        <v/>
      </c>
      <c r="D791" s="113">
        <v>19894</v>
      </c>
      <c r="E791" s="112">
        <v>1954</v>
      </c>
      <c r="F791" s="112" t="s">
        <v>3035</v>
      </c>
      <c r="G791" s="112">
        <v>1</v>
      </c>
      <c r="H791" s="114" t="s">
        <v>2541</v>
      </c>
      <c r="I791" s="112">
        <f t="shared" si="196"/>
        <v>3</v>
      </c>
      <c r="J791" s="112">
        <f t="shared" si="197"/>
        <v>2</v>
      </c>
      <c r="K791" s="115" t="s">
        <v>1061</v>
      </c>
      <c r="L791" s="115" t="s">
        <v>3211</v>
      </c>
      <c r="M791" s="115" t="s">
        <v>3223</v>
      </c>
      <c r="N791" s="115">
        <v>19000</v>
      </c>
      <c r="O791" s="112">
        <v>2</v>
      </c>
      <c r="P791" s="116" t="s">
        <v>2664</v>
      </c>
      <c r="Q791" s="112" t="str">
        <f t="shared" si="192"/>
        <v/>
      </c>
      <c r="R791" s="112" t="str">
        <f t="shared" si="193"/>
        <v/>
      </c>
      <c r="S791" s="112" t="str">
        <f t="shared" si="198"/>
        <v/>
      </c>
      <c r="T791" s="112" t="str">
        <f t="shared" si="199"/>
        <v/>
      </c>
      <c r="U791" s="112" t="str">
        <f t="shared" si="200"/>
        <v/>
      </c>
      <c r="V791" s="112" t="str">
        <f t="shared" si="201"/>
        <v/>
      </c>
      <c r="W791" s="112" t="str">
        <f t="shared" si="202"/>
        <v/>
      </c>
      <c r="X791" s="112" t="str">
        <f t="shared" si="194"/>
        <v/>
      </c>
      <c r="Y791" s="112" t="str">
        <f t="shared" si="195"/>
        <v/>
      </c>
      <c r="Z791" s="112" t="str">
        <f t="shared" si="203"/>
        <v/>
      </c>
      <c r="AA791" s="112" t="str">
        <f t="shared" si="204"/>
        <v/>
      </c>
      <c r="AB791" s="112" t="str">
        <f t="shared" si="205"/>
        <v/>
      </c>
      <c r="AC791" s="112" t="str">
        <f t="shared" si="206"/>
        <v/>
      </c>
      <c r="AD791" s="112" t="str">
        <f t="shared" si="207"/>
        <v/>
      </c>
    </row>
    <row r="792" spans="1:30" x14ac:dyDescent="0.2">
      <c r="A792" s="112" t="str">
        <f>IF(SUM(Q792:R792)=1,1+MAX($A$1:A791),"")</f>
        <v/>
      </c>
      <c r="B792" s="112" t="str">
        <f>IF(SUM(X792:Y792)=1,1+MAX($B$1:B791),"")</f>
        <v/>
      </c>
      <c r="C792" s="112" t="str">
        <f>IF(SUM(Q792:R792,X792:Y792)=2,1+MAX($C$1:C791),"")</f>
        <v/>
      </c>
      <c r="D792" s="113">
        <v>19894</v>
      </c>
      <c r="E792" s="112">
        <v>1954</v>
      </c>
      <c r="F792" s="112" t="s">
        <v>3035</v>
      </c>
      <c r="G792" s="112">
        <v>1</v>
      </c>
      <c r="H792" s="114" t="s">
        <v>1442</v>
      </c>
      <c r="I792" s="112">
        <f t="shared" si="196"/>
        <v>1</v>
      </c>
      <c r="J792" s="112">
        <f t="shared" si="197"/>
        <v>1</v>
      </c>
      <c r="K792" s="115" t="s">
        <v>2862</v>
      </c>
      <c r="L792" s="115" t="s">
        <v>3210</v>
      </c>
      <c r="M792" s="115" t="s">
        <v>3214</v>
      </c>
      <c r="N792" s="115">
        <v>40000</v>
      </c>
      <c r="O792" s="112">
        <v>2</v>
      </c>
      <c r="P792" s="116" t="s">
        <v>2645</v>
      </c>
      <c r="Q792" s="112" t="str">
        <f t="shared" si="192"/>
        <v/>
      </c>
      <c r="R792" s="112" t="str">
        <f t="shared" si="193"/>
        <v/>
      </c>
      <c r="S792" s="112" t="str">
        <f t="shared" si="198"/>
        <v/>
      </c>
      <c r="T792" s="112" t="str">
        <f t="shared" si="199"/>
        <v/>
      </c>
      <c r="U792" s="112" t="str">
        <f t="shared" si="200"/>
        <v/>
      </c>
      <c r="V792" s="112" t="str">
        <f t="shared" si="201"/>
        <v/>
      </c>
      <c r="W792" s="112" t="str">
        <f t="shared" si="202"/>
        <v/>
      </c>
      <c r="X792" s="112" t="str">
        <f t="shared" si="194"/>
        <v/>
      </c>
      <c r="Y792" s="112" t="str">
        <f t="shared" si="195"/>
        <v/>
      </c>
      <c r="Z792" s="112" t="str">
        <f t="shared" si="203"/>
        <v/>
      </c>
      <c r="AA792" s="112" t="str">
        <f t="shared" si="204"/>
        <v/>
      </c>
      <c r="AB792" s="112" t="str">
        <f t="shared" si="205"/>
        <v/>
      </c>
      <c r="AC792" s="112" t="str">
        <f t="shared" si="206"/>
        <v/>
      </c>
      <c r="AD792" s="112" t="str">
        <f t="shared" si="207"/>
        <v/>
      </c>
    </row>
    <row r="793" spans="1:30" x14ac:dyDescent="0.2">
      <c r="A793" s="112">
        <f>IF(SUM(Q793:R793)=1,1+MAX($A$1:A792),"")</f>
        <v>59</v>
      </c>
      <c r="B793" s="112" t="str">
        <f>IF(SUM(X793:Y793)=1,1+MAX($B$1:B792),"")</f>
        <v/>
      </c>
      <c r="C793" s="112" t="str">
        <f>IF(SUM(Q793:R793,X793:Y793)=2,1+MAX($C$1:C792),"")</f>
        <v/>
      </c>
      <c r="D793" s="113">
        <v>19892</v>
      </c>
      <c r="E793" s="112">
        <v>1954</v>
      </c>
      <c r="F793" s="112" t="s">
        <v>3020</v>
      </c>
      <c r="G793" s="112">
        <v>4</v>
      </c>
      <c r="H793" s="114" t="s">
        <v>2554</v>
      </c>
      <c r="I793" s="112">
        <f t="shared" si="196"/>
        <v>4</v>
      </c>
      <c r="J793" s="112">
        <f t="shared" si="197"/>
        <v>4</v>
      </c>
      <c r="K793" s="115" t="s">
        <v>2545</v>
      </c>
      <c r="L793" s="115" t="s">
        <v>3208</v>
      </c>
      <c r="M793" s="115" t="s">
        <v>3224</v>
      </c>
      <c r="N793" s="115">
        <v>40000</v>
      </c>
      <c r="O793" s="112">
        <v>2</v>
      </c>
      <c r="P793" s="116" t="s">
        <v>3161</v>
      </c>
      <c r="Q793" s="112" t="str">
        <f t="shared" si="192"/>
        <v/>
      </c>
      <c r="R793" s="112">
        <f t="shared" si="193"/>
        <v>1</v>
      </c>
      <c r="S793" s="112">
        <f t="shared" si="198"/>
        <v>0</v>
      </c>
      <c r="T793" s="112">
        <f t="shared" si="199"/>
        <v>1</v>
      </c>
      <c r="U793" s="112">
        <f t="shared" si="200"/>
        <v>0</v>
      </c>
      <c r="V793" s="112">
        <f t="shared" si="201"/>
        <v>8</v>
      </c>
      <c r="W793" s="112">
        <f t="shared" si="202"/>
        <v>0</v>
      </c>
      <c r="X793" s="112" t="str">
        <f t="shared" si="194"/>
        <v/>
      </c>
      <c r="Y793" s="112" t="str">
        <f t="shared" si="195"/>
        <v/>
      </c>
      <c r="Z793" s="112" t="str">
        <f t="shared" si="203"/>
        <v/>
      </c>
      <c r="AA793" s="112" t="str">
        <f t="shared" si="204"/>
        <v/>
      </c>
      <c r="AB793" s="112" t="str">
        <f t="shared" si="205"/>
        <v/>
      </c>
      <c r="AC793" s="112" t="str">
        <f t="shared" si="206"/>
        <v/>
      </c>
      <c r="AD793" s="112" t="str">
        <f t="shared" si="207"/>
        <v/>
      </c>
    </row>
    <row r="794" spans="1:30" x14ac:dyDescent="0.2">
      <c r="A794" s="112" t="str">
        <f>IF(SUM(Q794:R794)=1,1+MAX($A$1:A793),"")</f>
        <v/>
      </c>
      <c r="B794" s="112" t="str">
        <f>IF(SUM(X794:Y794)=1,1+MAX($B$1:B793),"")</f>
        <v/>
      </c>
      <c r="C794" s="112" t="str">
        <f>IF(SUM(Q794:R794,X794:Y794)=2,1+MAX($C$1:C793),"")</f>
        <v/>
      </c>
      <c r="D794" s="113">
        <v>19892</v>
      </c>
      <c r="E794" s="112">
        <v>1954</v>
      </c>
      <c r="F794" s="112" t="s">
        <v>3020</v>
      </c>
      <c r="G794" s="112">
        <v>4</v>
      </c>
      <c r="H794" s="114" t="s">
        <v>2674</v>
      </c>
      <c r="I794" s="112">
        <f t="shared" si="196"/>
        <v>1</v>
      </c>
      <c r="J794" s="112">
        <f t="shared" si="197"/>
        <v>2</v>
      </c>
      <c r="K794" s="115" t="s">
        <v>2558</v>
      </c>
      <c r="L794" s="115" t="s">
        <v>3210</v>
      </c>
      <c r="M794" s="115" t="s">
        <v>3225</v>
      </c>
      <c r="N794" s="115">
        <v>43000</v>
      </c>
      <c r="O794" s="112">
        <v>2</v>
      </c>
      <c r="P794" s="116" t="s">
        <v>2638</v>
      </c>
      <c r="Q794" s="112" t="str">
        <f t="shared" si="192"/>
        <v/>
      </c>
      <c r="R794" s="112" t="str">
        <f t="shared" si="193"/>
        <v/>
      </c>
      <c r="S794" s="112" t="str">
        <f t="shared" si="198"/>
        <v/>
      </c>
      <c r="T794" s="112" t="str">
        <f t="shared" si="199"/>
        <v/>
      </c>
      <c r="U794" s="112" t="str">
        <f t="shared" si="200"/>
        <v/>
      </c>
      <c r="V794" s="112" t="str">
        <f t="shared" si="201"/>
        <v/>
      </c>
      <c r="W794" s="112" t="str">
        <f t="shared" si="202"/>
        <v/>
      </c>
      <c r="X794" s="112" t="str">
        <f t="shared" si="194"/>
        <v/>
      </c>
      <c r="Y794" s="112" t="str">
        <f t="shared" si="195"/>
        <v/>
      </c>
      <c r="Z794" s="112" t="str">
        <f t="shared" si="203"/>
        <v/>
      </c>
      <c r="AA794" s="112" t="str">
        <f t="shared" si="204"/>
        <v/>
      </c>
      <c r="AB794" s="112" t="str">
        <f t="shared" si="205"/>
        <v/>
      </c>
      <c r="AC794" s="112" t="str">
        <f t="shared" si="206"/>
        <v/>
      </c>
      <c r="AD794" s="112" t="str">
        <f t="shared" si="207"/>
        <v/>
      </c>
    </row>
    <row r="795" spans="1:30" x14ac:dyDescent="0.2">
      <c r="A795" s="112" t="str">
        <f>IF(SUM(Q795:R795)=1,1+MAX($A$1:A794),"")</f>
        <v/>
      </c>
      <c r="B795" s="112" t="str">
        <f>IF(SUM(X795:Y795)=1,1+MAX($B$1:B794),"")</f>
        <v/>
      </c>
      <c r="C795" s="112" t="str">
        <f>IF(SUM(Q795:R795,X795:Y795)=2,1+MAX($C$1:C794),"")</f>
        <v/>
      </c>
      <c r="D795" s="113">
        <v>19892</v>
      </c>
      <c r="E795" s="112">
        <v>1954</v>
      </c>
      <c r="F795" s="112" t="s">
        <v>3024</v>
      </c>
      <c r="G795" s="112">
        <v>2</v>
      </c>
      <c r="H795" s="114" t="s">
        <v>2725</v>
      </c>
      <c r="I795" s="112">
        <f t="shared" si="196"/>
        <v>9</v>
      </c>
      <c r="J795" s="112">
        <f t="shared" si="197"/>
        <v>0</v>
      </c>
      <c r="K795" s="115" t="s">
        <v>2543</v>
      </c>
      <c r="L795" s="115" t="s">
        <v>3206</v>
      </c>
      <c r="M795" s="115" t="s">
        <v>3216</v>
      </c>
      <c r="N795" s="115">
        <v>18000</v>
      </c>
      <c r="O795" s="112">
        <v>2</v>
      </c>
      <c r="P795" s="116" t="s">
        <v>3226</v>
      </c>
      <c r="Q795" s="112" t="str">
        <f t="shared" si="192"/>
        <v/>
      </c>
      <c r="R795" s="112" t="str">
        <f t="shared" si="193"/>
        <v/>
      </c>
      <c r="S795" s="112" t="str">
        <f t="shared" si="198"/>
        <v/>
      </c>
      <c r="T795" s="112" t="str">
        <f t="shared" si="199"/>
        <v/>
      </c>
      <c r="U795" s="112" t="str">
        <f t="shared" si="200"/>
        <v/>
      </c>
      <c r="V795" s="112" t="str">
        <f t="shared" si="201"/>
        <v/>
      </c>
      <c r="W795" s="112" t="str">
        <f t="shared" si="202"/>
        <v/>
      </c>
      <c r="X795" s="112" t="str">
        <f t="shared" si="194"/>
        <v/>
      </c>
      <c r="Y795" s="112" t="str">
        <f t="shared" si="195"/>
        <v/>
      </c>
      <c r="Z795" s="112" t="str">
        <f t="shared" si="203"/>
        <v/>
      </c>
      <c r="AA795" s="112" t="str">
        <f t="shared" si="204"/>
        <v/>
      </c>
      <c r="AB795" s="112" t="str">
        <f t="shared" si="205"/>
        <v/>
      </c>
      <c r="AC795" s="112" t="str">
        <f t="shared" si="206"/>
        <v/>
      </c>
      <c r="AD795" s="112" t="str">
        <f t="shared" si="207"/>
        <v/>
      </c>
    </row>
    <row r="796" spans="1:30" x14ac:dyDescent="0.2">
      <c r="A796" s="112" t="str">
        <f>IF(SUM(Q796:R796)=1,1+MAX($A$1:A795),"")</f>
        <v/>
      </c>
      <c r="B796" s="112" t="str">
        <f>IF(SUM(X796:Y796)=1,1+MAX($B$1:B795),"")</f>
        <v/>
      </c>
      <c r="C796" s="112" t="str">
        <f>IF(SUM(Q796:R796,X796:Y796)=2,1+MAX($C$1:C795),"")</f>
        <v/>
      </c>
      <c r="D796" s="113">
        <v>19892</v>
      </c>
      <c r="E796" s="112">
        <v>1954</v>
      </c>
      <c r="F796" s="112" t="s">
        <v>3024</v>
      </c>
      <c r="G796" s="112">
        <v>2</v>
      </c>
      <c r="H796" s="114" t="s">
        <v>2547</v>
      </c>
      <c r="I796" s="112">
        <f t="shared" si="196"/>
        <v>4</v>
      </c>
      <c r="J796" s="112">
        <f t="shared" si="197"/>
        <v>1</v>
      </c>
      <c r="K796" s="115" t="s">
        <v>2799</v>
      </c>
      <c r="L796" s="115" t="s">
        <v>3204</v>
      </c>
      <c r="M796" s="115" t="s">
        <v>3227</v>
      </c>
      <c r="N796" s="115">
        <v>39000</v>
      </c>
      <c r="O796" s="112">
        <v>2</v>
      </c>
      <c r="P796" s="116" t="s">
        <v>2683</v>
      </c>
      <c r="Q796" s="112" t="str">
        <f t="shared" si="192"/>
        <v/>
      </c>
      <c r="R796" s="112" t="str">
        <f t="shared" si="193"/>
        <v/>
      </c>
      <c r="S796" s="112" t="str">
        <f t="shared" si="198"/>
        <v/>
      </c>
      <c r="T796" s="112" t="str">
        <f t="shared" si="199"/>
        <v/>
      </c>
      <c r="U796" s="112" t="str">
        <f t="shared" si="200"/>
        <v/>
      </c>
      <c r="V796" s="112" t="str">
        <f t="shared" si="201"/>
        <v/>
      </c>
      <c r="W796" s="112" t="str">
        <f t="shared" si="202"/>
        <v/>
      </c>
      <c r="X796" s="112" t="str">
        <f t="shared" si="194"/>
        <v/>
      </c>
      <c r="Y796" s="112" t="str">
        <f t="shared" si="195"/>
        <v/>
      </c>
      <c r="Z796" s="112" t="str">
        <f t="shared" si="203"/>
        <v/>
      </c>
      <c r="AA796" s="112" t="str">
        <f t="shared" si="204"/>
        <v/>
      </c>
      <c r="AB796" s="112" t="str">
        <f t="shared" si="205"/>
        <v/>
      </c>
      <c r="AC796" s="112" t="str">
        <f t="shared" si="206"/>
        <v/>
      </c>
      <c r="AD796" s="112" t="str">
        <f t="shared" si="207"/>
        <v/>
      </c>
    </row>
    <row r="797" spans="1:30" x14ac:dyDescent="0.2">
      <c r="A797" s="112" t="str">
        <f>IF(SUM(Q797:R797)=1,1+MAX($A$1:A796),"")</f>
        <v/>
      </c>
      <c r="B797" s="112" t="str">
        <f>IF(SUM(X797:Y797)=1,1+MAX($B$1:B796),"")</f>
        <v/>
      </c>
      <c r="C797" s="112" t="str">
        <f>IF(SUM(Q797:R797,X797:Y797)=2,1+MAX($C$1:C796),"")</f>
        <v/>
      </c>
      <c r="D797" s="113">
        <v>19891</v>
      </c>
      <c r="E797" s="112">
        <v>1954</v>
      </c>
      <c r="F797" s="112" t="s">
        <v>3033</v>
      </c>
      <c r="G797" s="112">
        <v>3</v>
      </c>
      <c r="H797" s="114" t="s">
        <v>2623</v>
      </c>
      <c r="I797" s="112">
        <f t="shared" si="196"/>
        <v>1</v>
      </c>
      <c r="J797" s="112">
        <f t="shared" si="197"/>
        <v>0</v>
      </c>
      <c r="K797" s="115" t="s">
        <v>2717</v>
      </c>
      <c r="L797" s="115" t="s">
        <v>3206</v>
      </c>
      <c r="M797" s="115" t="s">
        <v>3228</v>
      </c>
      <c r="N797" s="115">
        <v>30000</v>
      </c>
      <c r="O797" s="112">
        <v>2</v>
      </c>
      <c r="P797" s="116" t="s">
        <v>2622</v>
      </c>
      <c r="Q797" s="112" t="str">
        <f t="shared" si="192"/>
        <v/>
      </c>
      <c r="R797" s="112" t="str">
        <f t="shared" si="193"/>
        <v/>
      </c>
      <c r="S797" s="112" t="str">
        <f t="shared" si="198"/>
        <v/>
      </c>
      <c r="T797" s="112" t="str">
        <f t="shared" si="199"/>
        <v/>
      </c>
      <c r="U797" s="112" t="str">
        <f t="shared" si="200"/>
        <v/>
      </c>
      <c r="V797" s="112" t="str">
        <f t="shared" si="201"/>
        <v/>
      </c>
      <c r="W797" s="112" t="str">
        <f t="shared" si="202"/>
        <v/>
      </c>
      <c r="X797" s="112" t="str">
        <f t="shared" si="194"/>
        <v/>
      </c>
      <c r="Y797" s="112" t="str">
        <f t="shared" si="195"/>
        <v/>
      </c>
      <c r="Z797" s="112" t="str">
        <f t="shared" si="203"/>
        <v/>
      </c>
      <c r="AA797" s="112" t="str">
        <f t="shared" si="204"/>
        <v/>
      </c>
      <c r="AB797" s="112" t="str">
        <f t="shared" si="205"/>
        <v/>
      </c>
      <c r="AC797" s="112" t="str">
        <f t="shared" si="206"/>
        <v/>
      </c>
      <c r="AD797" s="112" t="str">
        <f t="shared" si="207"/>
        <v/>
      </c>
    </row>
    <row r="798" spans="1:30" x14ac:dyDescent="0.2">
      <c r="A798" s="112" t="str">
        <f>IF(SUM(Q798:R798)=1,1+MAX($A$1:A797),"")</f>
        <v/>
      </c>
      <c r="B798" s="112" t="str">
        <f>IF(SUM(X798:Y798)=1,1+MAX($B$1:B797),"")</f>
        <v/>
      </c>
      <c r="C798" s="112" t="str">
        <f>IF(SUM(Q798:R798,X798:Y798)=2,1+MAX($C$1:C797),"")</f>
        <v/>
      </c>
      <c r="D798" s="113">
        <v>19891</v>
      </c>
      <c r="E798" s="112">
        <v>1954</v>
      </c>
      <c r="F798" s="112" t="s">
        <v>3033</v>
      </c>
      <c r="G798" s="112">
        <v>3</v>
      </c>
      <c r="H798" s="114" t="s">
        <v>2648</v>
      </c>
      <c r="I798" s="112">
        <f t="shared" si="196"/>
        <v>0</v>
      </c>
      <c r="J798" s="112">
        <f t="shared" si="197"/>
        <v>2</v>
      </c>
      <c r="K798" s="115" t="s">
        <v>2540</v>
      </c>
      <c r="L798" s="115" t="s">
        <v>3204</v>
      </c>
      <c r="M798" s="115" t="s">
        <v>3190</v>
      </c>
      <c r="N798" s="115">
        <v>20500</v>
      </c>
      <c r="O798" s="112">
        <v>3</v>
      </c>
      <c r="P798" s="116" t="s">
        <v>2687</v>
      </c>
      <c r="Q798" s="112" t="str">
        <f t="shared" si="192"/>
        <v/>
      </c>
      <c r="R798" s="112" t="str">
        <f t="shared" si="193"/>
        <v/>
      </c>
      <c r="S798" s="112" t="str">
        <f t="shared" si="198"/>
        <v/>
      </c>
      <c r="T798" s="112" t="str">
        <f t="shared" si="199"/>
        <v/>
      </c>
      <c r="U798" s="112" t="str">
        <f t="shared" si="200"/>
        <v/>
      </c>
      <c r="V798" s="112" t="str">
        <f t="shared" si="201"/>
        <v/>
      </c>
      <c r="W798" s="112" t="str">
        <f t="shared" si="202"/>
        <v/>
      </c>
      <c r="X798" s="112" t="str">
        <f t="shared" si="194"/>
        <v/>
      </c>
      <c r="Y798" s="112" t="str">
        <f t="shared" si="195"/>
        <v/>
      </c>
      <c r="Z798" s="112" t="str">
        <f t="shared" si="203"/>
        <v/>
      </c>
      <c r="AA798" s="112" t="str">
        <f t="shared" si="204"/>
        <v/>
      </c>
      <c r="AB798" s="112" t="str">
        <f t="shared" si="205"/>
        <v/>
      </c>
      <c r="AC798" s="112" t="str">
        <f t="shared" si="206"/>
        <v/>
      </c>
      <c r="AD798" s="112" t="str">
        <f t="shared" si="207"/>
        <v/>
      </c>
    </row>
    <row r="799" spans="1:30" x14ac:dyDescent="0.2">
      <c r="A799" s="112" t="str">
        <f>IF(SUM(Q799:R799)=1,1+MAX($A$1:A798),"")</f>
        <v/>
      </c>
      <c r="B799" s="112" t="str">
        <f>IF(SUM(X799:Y799)=1,1+MAX($B$1:B798),"")</f>
        <v/>
      </c>
      <c r="C799" s="112" t="str">
        <f>IF(SUM(Q799:R799,X799:Y799)=2,1+MAX($C$1:C798),"")</f>
        <v/>
      </c>
      <c r="D799" s="113">
        <v>19891</v>
      </c>
      <c r="E799" s="112">
        <v>1954</v>
      </c>
      <c r="F799" s="112" t="s">
        <v>3035</v>
      </c>
      <c r="G799" s="112">
        <v>1</v>
      </c>
      <c r="H799" s="114" t="s">
        <v>2541</v>
      </c>
      <c r="I799" s="112">
        <f t="shared" si="196"/>
        <v>0</v>
      </c>
      <c r="J799" s="112">
        <f t="shared" si="197"/>
        <v>1</v>
      </c>
      <c r="K799" s="115" t="s">
        <v>2862</v>
      </c>
      <c r="L799" s="115" t="s">
        <v>3210</v>
      </c>
      <c r="M799" s="115" t="s">
        <v>3197</v>
      </c>
      <c r="N799" s="115">
        <v>27000</v>
      </c>
      <c r="O799" s="112">
        <v>2</v>
      </c>
      <c r="P799" s="116" t="s">
        <v>2601</v>
      </c>
      <c r="Q799" s="112" t="str">
        <f t="shared" si="192"/>
        <v/>
      </c>
      <c r="R799" s="112" t="str">
        <f t="shared" si="193"/>
        <v/>
      </c>
      <c r="S799" s="112" t="str">
        <f t="shared" si="198"/>
        <v/>
      </c>
      <c r="T799" s="112" t="str">
        <f t="shared" si="199"/>
        <v/>
      </c>
      <c r="U799" s="112" t="str">
        <f t="shared" si="200"/>
        <v/>
      </c>
      <c r="V799" s="112" t="str">
        <f t="shared" si="201"/>
        <v/>
      </c>
      <c r="W799" s="112" t="str">
        <f t="shared" si="202"/>
        <v/>
      </c>
      <c r="X799" s="112" t="str">
        <f t="shared" si="194"/>
        <v/>
      </c>
      <c r="Y799" s="112" t="str">
        <f t="shared" si="195"/>
        <v/>
      </c>
      <c r="Z799" s="112" t="str">
        <f t="shared" si="203"/>
        <v/>
      </c>
      <c r="AA799" s="112" t="str">
        <f t="shared" si="204"/>
        <v/>
      </c>
      <c r="AB799" s="112" t="str">
        <f t="shared" si="205"/>
        <v/>
      </c>
      <c r="AC799" s="112" t="str">
        <f t="shared" si="206"/>
        <v/>
      </c>
      <c r="AD799" s="112" t="str">
        <f t="shared" si="207"/>
        <v/>
      </c>
    </row>
    <row r="800" spans="1:30" x14ac:dyDescent="0.2">
      <c r="A800" s="112" t="str">
        <f>IF(SUM(Q800:R800)=1,1+MAX($A$1:A799),"")</f>
        <v/>
      </c>
      <c r="B800" s="112" t="str">
        <f>IF(SUM(X800:Y800)=1,1+MAX($B$1:B799),"")</f>
        <v/>
      </c>
      <c r="C800" s="112" t="str">
        <f>IF(SUM(Q800:R800,X800:Y800)=2,1+MAX($C$1:C799),"")</f>
        <v/>
      </c>
      <c r="D800" s="113">
        <v>19891</v>
      </c>
      <c r="E800" s="112">
        <v>1954</v>
      </c>
      <c r="F800" s="112" t="s">
        <v>3035</v>
      </c>
      <c r="G800" s="112">
        <v>1</v>
      </c>
      <c r="H800" s="114" t="s">
        <v>1442</v>
      </c>
      <c r="I800" s="112">
        <f t="shared" si="196"/>
        <v>5</v>
      </c>
      <c r="J800" s="112">
        <f t="shared" si="197"/>
        <v>0</v>
      </c>
      <c r="K800" s="115" t="s">
        <v>1061</v>
      </c>
      <c r="L800" s="115" t="s">
        <v>3211</v>
      </c>
      <c r="M800" s="115" t="s">
        <v>3207</v>
      </c>
      <c r="N800" s="115">
        <v>13000</v>
      </c>
      <c r="O800" s="112">
        <v>2</v>
      </c>
      <c r="P800" s="116" t="s">
        <v>2879</v>
      </c>
      <c r="Q800" s="112" t="str">
        <f t="shared" si="192"/>
        <v/>
      </c>
      <c r="R800" s="112" t="str">
        <f t="shared" si="193"/>
        <v/>
      </c>
      <c r="S800" s="112" t="str">
        <f t="shared" si="198"/>
        <v/>
      </c>
      <c r="T800" s="112" t="str">
        <f t="shared" si="199"/>
        <v/>
      </c>
      <c r="U800" s="112" t="str">
        <f t="shared" si="200"/>
        <v/>
      </c>
      <c r="V800" s="112" t="str">
        <f t="shared" si="201"/>
        <v/>
      </c>
      <c r="W800" s="112" t="str">
        <f t="shared" si="202"/>
        <v/>
      </c>
      <c r="X800" s="112" t="str">
        <f t="shared" si="194"/>
        <v/>
      </c>
      <c r="Y800" s="112" t="str">
        <f t="shared" si="195"/>
        <v/>
      </c>
      <c r="Z800" s="112" t="str">
        <f t="shared" si="203"/>
        <v/>
      </c>
      <c r="AA800" s="112" t="str">
        <f t="shared" si="204"/>
        <v/>
      </c>
      <c r="AB800" s="112" t="str">
        <f t="shared" si="205"/>
        <v/>
      </c>
      <c r="AC800" s="112" t="str">
        <f t="shared" si="206"/>
        <v/>
      </c>
      <c r="AD800" s="112" t="str">
        <f t="shared" si="207"/>
        <v/>
      </c>
    </row>
    <row r="801" spans="1:30" x14ac:dyDescent="0.2">
      <c r="A801" s="112" t="str">
        <f>IF(SUM(Q801:R801)=1,1+MAX($A$1:A800),"")</f>
        <v/>
      </c>
      <c r="B801" s="112" t="str">
        <f>IF(SUM(X801:Y801)=1,1+MAX($B$1:B800),"")</f>
        <v/>
      </c>
      <c r="C801" s="112" t="str">
        <f>IF(SUM(Q801:R801,X801:Y801)=2,1+MAX($C$1:C800),"")</f>
        <v/>
      </c>
      <c r="D801" s="113">
        <v>18460</v>
      </c>
      <c r="E801" s="112">
        <v>1950</v>
      </c>
      <c r="F801" s="118" t="s">
        <v>3060</v>
      </c>
      <c r="H801" s="114" t="s">
        <v>1442</v>
      </c>
      <c r="I801" s="112">
        <f t="shared" si="196"/>
        <v>1</v>
      </c>
      <c r="J801" s="112">
        <f t="shared" si="197"/>
        <v>2</v>
      </c>
      <c r="K801" s="115" t="s">
        <v>2540</v>
      </c>
      <c r="L801" s="115" t="s">
        <v>2599</v>
      </c>
      <c r="M801" s="115" t="s">
        <v>3229</v>
      </c>
      <c r="N801" s="115">
        <v>200000</v>
      </c>
      <c r="O801" s="112">
        <v>3</v>
      </c>
      <c r="P801" s="116" t="s">
        <v>2638</v>
      </c>
      <c r="Q801" s="112" t="str">
        <f t="shared" si="192"/>
        <v/>
      </c>
      <c r="R801" s="112" t="str">
        <f t="shared" si="193"/>
        <v/>
      </c>
      <c r="S801" s="112" t="str">
        <f t="shared" si="198"/>
        <v/>
      </c>
      <c r="T801" s="112" t="str">
        <f t="shared" si="199"/>
        <v/>
      </c>
      <c r="U801" s="112" t="str">
        <f t="shared" si="200"/>
        <v/>
      </c>
      <c r="V801" s="112" t="str">
        <f t="shared" si="201"/>
        <v/>
      </c>
      <c r="W801" s="112" t="str">
        <f t="shared" si="202"/>
        <v/>
      </c>
      <c r="X801" s="112" t="str">
        <f t="shared" si="194"/>
        <v/>
      </c>
      <c r="Y801" s="112" t="str">
        <f t="shared" si="195"/>
        <v/>
      </c>
      <c r="Z801" s="112" t="str">
        <f t="shared" si="203"/>
        <v/>
      </c>
      <c r="AA801" s="112" t="str">
        <f t="shared" si="204"/>
        <v/>
      </c>
      <c r="AB801" s="112" t="str">
        <f t="shared" si="205"/>
        <v/>
      </c>
      <c r="AC801" s="112" t="str">
        <f t="shared" si="206"/>
        <v/>
      </c>
      <c r="AD801" s="112" t="str">
        <f t="shared" si="207"/>
        <v/>
      </c>
    </row>
    <row r="802" spans="1:30" x14ac:dyDescent="0.2">
      <c r="A802" s="112" t="str">
        <f>IF(SUM(Q802:R802)=1,1+MAX($A$1:A801),"")</f>
        <v/>
      </c>
      <c r="B802" s="112" t="str">
        <f>IF(SUM(X802:Y802)=1,1+MAX($B$1:B801),"")</f>
        <v/>
      </c>
      <c r="C802" s="112" t="str">
        <f>IF(SUM(Q802:R802,X802:Y802)=2,1+MAX($C$1:C801),"")</f>
        <v/>
      </c>
      <c r="D802" s="113">
        <v>18460</v>
      </c>
      <c r="E802" s="112">
        <v>1950</v>
      </c>
      <c r="F802" s="118" t="s">
        <v>3060</v>
      </c>
      <c r="H802" s="114" t="s">
        <v>2557</v>
      </c>
      <c r="I802" s="112">
        <f t="shared" si="196"/>
        <v>1</v>
      </c>
      <c r="J802" s="112">
        <f t="shared" si="197"/>
        <v>3</v>
      </c>
      <c r="K802" s="115" t="s">
        <v>2549</v>
      </c>
      <c r="L802" s="115" t="s">
        <v>3230</v>
      </c>
      <c r="M802" s="115" t="s">
        <v>3231</v>
      </c>
      <c r="N802" s="115">
        <v>11000</v>
      </c>
      <c r="O802" s="112">
        <v>2</v>
      </c>
      <c r="P802" s="116" t="s">
        <v>2691</v>
      </c>
      <c r="Q802" s="112" t="str">
        <f t="shared" si="192"/>
        <v/>
      </c>
      <c r="R802" s="112" t="str">
        <f t="shared" si="193"/>
        <v/>
      </c>
      <c r="S802" s="112" t="str">
        <f t="shared" si="198"/>
        <v/>
      </c>
      <c r="T802" s="112" t="str">
        <f t="shared" si="199"/>
        <v/>
      </c>
      <c r="U802" s="112" t="str">
        <f t="shared" si="200"/>
        <v/>
      </c>
      <c r="V802" s="112" t="str">
        <f t="shared" si="201"/>
        <v/>
      </c>
      <c r="W802" s="112" t="str">
        <f t="shared" si="202"/>
        <v/>
      </c>
      <c r="X802" s="112" t="str">
        <f t="shared" si="194"/>
        <v/>
      </c>
      <c r="Y802" s="112" t="str">
        <f t="shared" si="195"/>
        <v/>
      </c>
      <c r="Z802" s="112" t="str">
        <f t="shared" si="203"/>
        <v/>
      </c>
      <c r="AA802" s="112" t="str">
        <f t="shared" si="204"/>
        <v/>
      </c>
      <c r="AB802" s="112" t="str">
        <f t="shared" si="205"/>
        <v/>
      </c>
      <c r="AC802" s="112" t="str">
        <f t="shared" si="206"/>
        <v/>
      </c>
      <c r="AD802" s="112" t="str">
        <f t="shared" si="207"/>
        <v/>
      </c>
    </row>
    <row r="803" spans="1:30" x14ac:dyDescent="0.2">
      <c r="A803" s="112" t="str">
        <f>IF(SUM(Q803:R803)=1,1+MAX($A$1:A802),"")</f>
        <v/>
      </c>
      <c r="B803" s="112" t="str">
        <f>IF(SUM(X803:Y803)=1,1+MAX($B$1:B802),"")</f>
        <v/>
      </c>
      <c r="C803" s="112" t="str">
        <f>IF(SUM(Q803:R803,X803:Y803)=2,1+MAX($C$1:C802),"")</f>
        <v/>
      </c>
      <c r="D803" s="113">
        <v>18457</v>
      </c>
      <c r="E803" s="112">
        <v>1950</v>
      </c>
      <c r="F803" s="118" t="s">
        <v>3060</v>
      </c>
      <c r="H803" s="114" t="s">
        <v>2549</v>
      </c>
      <c r="I803" s="112">
        <f t="shared" si="196"/>
        <v>2</v>
      </c>
      <c r="J803" s="112">
        <f t="shared" si="197"/>
        <v>3</v>
      </c>
      <c r="K803" s="115" t="s">
        <v>2540</v>
      </c>
      <c r="L803" s="115" t="s">
        <v>3230</v>
      </c>
      <c r="M803" s="115" t="s">
        <v>3232</v>
      </c>
      <c r="N803" s="115">
        <v>8000</v>
      </c>
      <c r="O803" s="112">
        <v>3</v>
      </c>
      <c r="P803" s="116" t="s">
        <v>2706</v>
      </c>
      <c r="Q803" s="112" t="str">
        <f t="shared" si="192"/>
        <v/>
      </c>
      <c r="R803" s="112" t="str">
        <f t="shared" si="193"/>
        <v/>
      </c>
      <c r="S803" s="112" t="str">
        <f t="shared" si="198"/>
        <v/>
      </c>
      <c r="T803" s="112" t="str">
        <f t="shared" si="199"/>
        <v/>
      </c>
      <c r="U803" s="112" t="str">
        <f t="shared" si="200"/>
        <v/>
      </c>
      <c r="V803" s="112" t="str">
        <f t="shared" si="201"/>
        <v/>
      </c>
      <c r="W803" s="112" t="str">
        <f t="shared" si="202"/>
        <v/>
      </c>
      <c r="X803" s="112" t="str">
        <f t="shared" si="194"/>
        <v/>
      </c>
      <c r="Y803" s="112" t="str">
        <f t="shared" si="195"/>
        <v/>
      </c>
      <c r="Z803" s="112" t="str">
        <f t="shared" si="203"/>
        <v/>
      </c>
      <c r="AA803" s="112" t="str">
        <f t="shared" si="204"/>
        <v/>
      </c>
      <c r="AB803" s="112" t="str">
        <f t="shared" si="205"/>
        <v/>
      </c>
      <c r="AC803" s="112" t="str">
        <f t="shared" si="206"/>
        <v/>
      </c>
      <c r="AD803" s="112" t="str">
        <f t="shared" si="207"/>
        <v/>
      </c>
    </row>
    <row r="804" spans="1:30" x14ac:dyDescent="0.2">
      <c r="A804" s="112" t="str">
        <f>IF(SUM(Q804:R804)=1,1+MAX($A$1:A803),"")</f>
        <v/>
      </c>
      <c r="B804" s="112" t="str">
        <f>IF(SUM(X804:Y804)=1,1+MAX($B$1:B803),"")</f>
        <v/>
      </c>
      <c r="C804" s="112" t="str">
        <f>IF(SUM(Q804:R804,X804:Y804)=2,1+MAX($C$1:C803),"")</f>
        <v/>
      </c>
      <c r="D804" s="113">
        <v>18457</v>
      </c>
      <c r="E804" s="112">
        <v>1950</v>
      </c>
      <c r="F804" s="118" t="s">
        <v>3060</v>
      </c>
      <c r="H804" s="114" t="s">
        <v>1442</v>
      </c>
      <c r="I804" s="112">
        <f t="shared" si="196"/>
        <v>6</v>
      </c>
      <c r="J804" s="112">
        <f t="shared" si="197"/>
        <v>1</v>
      </c>
      <c r="K804" s="115" t="s">
        <v>2557</v>
      </c>
      <c r="L804" s="115" t="s">
        <v>2599</v>
      </c>
      <c r="M804" s="115" t="s">
        <v>3233</v>
      </c>
      <c r="N804" s="115">
        <v>153000</v>
      </c>
      <c r="O804" s="112">
        <v>2</v>
      </c>
      <c r="P804" s="116" t="s">
        <v>2984</v>
      </c>
      <c r="Q804" s="112" t="str">
        <f t="shared" si="192"/>
        <v/>
      </c>
      <c r="R804" s="112" t="str">
        <f t="shared" si="193"/>
        <v/>
      </c>
      <c r="S804" s="112" t="str">
        <f t="shared" si="198"/>
        <v/>
      </c>
      <c r="T804" s="112" t="str">
        <f t="shared" si="199"/>
        <v/>
      </c>
      <c r="U804" s="112" t="str">
        <f t="shared" si="200"/>
        <v/>
      </c>
      <c r="V804" s="112" t="str">
        <f t="shared" si="201"/>
        <v/>
      </c>
      <c r="W804" s="112" t="str">
        <f t="shared" si="202"/>
        <v/>
      </c>
      <c r="X804" s="112" t="str">
        <f t="shared" si="194"/>
        <v/>
      </c>
      <c r="Y804" s="112" t="str">
        <f t="shared" si="195"/>
        <v/>
      </c>
      <c r="Z804" s="112" t="str">
        <f t="shared" si="203"/>
        <v/>
      </c>
      <c r="AA804" s="112" t="str">
        <f t="shared" si="204"/>
        <v/>
      </c>
      <c r="AB804" s="112" t="str">
        <f t="shared" si="205"/>
        <v/>
      </c>
      <c r="AC804" s="112" t="str">
        <f t="shared" si="206"/>
        <v/>
      </c>
      <c r="AD804" s="112" t="str">
        <f t="shared" si="207"/>
        <v/>
      </c>
    </row>
    <row r="805" spans="1:30" x14ac:dyDescent="0.2">
      <c r="A805" s="112" t="str">
        <f>IF(SUM(Q805:R805)=1,1+MAX($A$1:A804),"")</f>
        <v/>
      </c>
      <c r="B805" s="112" t="str">
        <f>IF(SUM(X805:Y805)=1,1+MAX($B$1:B804),"")</f>
        <v/>
      </c>
      <c r="C805" s="112" t="str">
        <f>IF(SUM(Q805:R805,X805:Y805)=2,1+MAX($C$1:C804),"")</f>
        <v/>
      </c>
      <c r="D805" s="113">
        <v>18453</v>
      </c>
      <c r="E805" s="112">
        <v>1950</v>
      </c>
      <c r="F805" s="118" t="s">
        <v>3060</v>
      </c>
      <c r="H805" s="114" t="s">
        <v>1442</v>
      </c>
      <c r="I805" s="112">
        <f t="shared" si="196"/>
        <v>7</v>
      </c>
      <c r="J805" s="112">
        <f t="shared" si="197"/>
        <v>1</v>
      </c>
      <c r="K805" s="115" t="s">
        <v>2549</v>
      </c>
      <c r="L805" s="115" t="s">
        <v>2599</v>
      </c>
      <c r="M805" s="115" t="s">
        <v>3234</v>
      </c>
      <c r="N805" s="115">
        <v>139000</v>
      </c>
      <c r="O805" s="112">
        <v>2</v>
      </c>
      <c r="P805" s="116" t="s">
        <v>3235</v>
      </c>
      <c r="Q805" s="112" t="str">
        <f t="shared" si="192"/>
        <v/>
      </c>
      <c r="R805" s="112" t="str">
        <f t="shared" si="193"/>
        <v/>
      </c>
      <c r="S805" s="112" t="str">
        <f t="shared" si="198"/>
        <v/>
      </c>
      <c r="T805" s="112" t="str">
        <f t="shared" si="199"/>
        <v/>
      </c>
      <c r="U805" s="112" t="str">
        <f t="shared" si="200"/>
        <v/>
      </c>
      <c r="V805" s="112" t="str">
        <f t="shared" si="201"/>
        <v/>
      </c>
      <c r="W805" s="112" t="str">
        <f t="shared" si="202"/>
        <v/>
      </c>
      <c r="X805" s="112" t="str">
        <f t="shared" si="194"/>
        <v/>
      </c>
      <c r="Y805" s="112" t="str">
        <f t="shared" si="195"/>
        <v/>
      </c>
      <c r="Z805" s="112" t="str">
        <f t="shared" si="203"/>
        <v/>
      </c>
      <c r="AA805" s="112" t="str">
        <f t="shared" si="204"/>
        <v/>
      </c>
      <c r="AB805" s="112" t="str">
        <f t="shared" si="205"/>
        <v/>
      </c>
      <c r="AC805" s="112" t="str">
        <f t="shared" si="206"/>
        <v/>
      </c>
      <c r="AD805" s="112" t="str">
        <f t="shared" si="207"/>
        <v/>
      </c>
    </row>
    <row r="806" spans="1:30" x14ac:dyDescent="0.2">
      <c r="A806" s="112" t="str">
        <f>IF(SUM(Q806:R806)=1,1+MAX($A$1:A805),"")</f>
        <v/>
      </c>
      <c r="B806" s="112" t="str">
        <f>IF(SUM(X806:Y806)=1,1+MAX($B$1:B805),"")</f>
        <v/>
      </c>
      <c r="C806" s="112" t="str">
        <f>IF(SUM(Q806:R806,X806:Y806)=2,1+MAX($C$1:C805),"")</f>
        <v/>
      </c>
      <c r="D806" s="113">
        <v>18453</v>
      </c>
      <c r="E806" s="112">
        <v>1950</v>
      </c>
      <c r="F806" s="118" t="s">
        <v>3060</v>
      </c>
      <c r="H806" s="114" t="s">
        <v>2557</v>
      </c>
      <c r="I806" s="112">
        <f t="shared" si="196"/>
        <v>2</v>
      </c>
      <c r="J806" s="112">
        <f t="shared" si="197"/>
        <v>2</v>
      </c>
      <c r="K806" s="115" t="s">
        <v>2540</v>
      </c>
      <c r="L806" s="115" t="s">
        <v>3230</v>
      </c>
      <c r="M806" s="115" t="s">
        <v>3197</v>
      </c>
      <c r="N806" s="115">
        <v>45000</v>
      </c>
      <c r="O806" s="112">
        <v>3</v>
      </c>
      <c r="P806" s="116" t="s">
        <v>2697</v>
      </c>
      <c r="Q806" s="112" t="str">
        <f t="shared" si="192"/>
        <v/>
      </c>
      <c r="R806" s="112" t="str">
        <f t="shared" si="193"/>
        <v/>
      </c>
      <c r="S806" s="112" t="str">
        <f t="shared" si="198"/>
        <v/>
      </c>
      <c r="T806" s="112" t="str">
        <f t="shared" si="199"/>
        <v/>
      </c>
      <c r="U806" s="112" t="str">
        <f t="shared" si="200"/>
        <v/>
      </c>
      <c r="V806" s="112" t="str">
        <f t="shared" si="201"/>
        <v/>
      </c>
      <c r="W806" s="112" t="str">
        <f t="shared" si="202"/>
        <v/>
      </c>
      <c r="X806" s="112" t="str">
        <f t="shared" si="194"/>
        <v/>
      </c>
      <c r="Y806" s="112" t="str">
        <f t="shared" si="195"/>
        <v/>
      </c>
      <c r="Z806" s="112" t="str">
        <f t="shared" si="203"/>
        <v/>
      </c>
      <c r="AA806" s="112" t="str">
        <f t="shared" si="204"/>
        <v/>
      </c>
      <c r="AB806" s="112" t="str">
        <f t="shared" si="205"/>
        <v/>
      </c>
      <c r="AC806" s="112" t="str">
        <f t="shared" si="206"/>
        <v/>
      </c>
      <c r="AD806" s="112" t="str">
        <f t="shared" si="207"/>
        <v/>
      </c>
    </row>
    <row r="807" spans="1:30" x14ac:dyDescent="0.2">
      <c r="A807" s="112" t="str">
        <f>IF(SUM(Q807:R807)=1,1+MAX($A$1:A806),"")</f>
        <v/>
      </c>
      <c r="B807" s="112" t="str">
        <f>IF(SUM(X807:Y807)=1,1+MAX($B$1:B806),"")</f>
        <v/>
      </c>
      <c r="C807" s="112" t="str">
        <f>IF(SUM(Q807:R807,X807:Y807)=2,1+MAX($C$1:C806),"")</f>
        <v/>
      </c>
      <c r="D807" s="113">
        <v>18446</v>
      </c>
      <c r="E807" s="112">
        <v>1950</v>
      </c>
      <c r="F807" s="112" t="s">
        <v>3020</v>
      </c>
      <c r="G807" s="112">
        <v>4</v>
      </c>
      <c r="H807" s="114" t="s">
        <v>2634</v>
      </c>
      <c r="I807" s="112">
        <f t="shared" si="196"/>
        <v>0</v>
      </c>
      <c r="J807" s="112">
        <f t="shared" si="197"/>
        <v>8</v>
      </c>
      <c r="K807" s="115" t="s">
        <v>2540</v>
      </c>
      <c r="L807" s="115" t="s">
        <v>3236</v>
      </c>
      <c r="M807" s="115" t="s">
        <v>3229</v>
      </c>
      <c r="N807" s="115">
        <v>6000</v>
      </c>
      <c r="O807" s="112">
        <v>3</v>
      </c>
      <c r="P807" s="116" t="s">
        <v>3237</v>
      </c>
      <c r="Q807" s="112" t="str">
        <f t="shared" si="192"/>
        <v/>
      </c>
      <c r="R807" s="112" t="str">
        <f t="shared" si="193"/>
        <v/>
      </c>
      <c r="S807" s="112" t="str">
        <f t="shared" si="198"/>
        <v/>
      </c>
      <c r="T807" s="112" t="str">
        <f t="shared" si="199"/>
        <v/>
      </c>
      <c r="U807" s="112" t="str">
        <f t="shared" si="200"/>
        <v/>
      </c>
      <c r="V807" s="112" t="str">
        <f t="shared" si="201"/>
        <v/>
      </c>
      <c r="W807" s="112" t="str">
        <f t="shared" si="202"/>
        <v/>
      </c>
      <c r="X807" s="112" t="str">
        <f t="shared" si="194"/>
        <v/>
      </c>
      <c r="Y807" s="112" t="str">
        <f t="shared" si="195"/>
        <v/>
      </c>
      <c r="Z807" s="112" t="str">
        <f t="shared" si="203"/>
        <v/>
      </c>
      <c r="AA807" s="112" t="str">
        <f t="shared" si="204"/>
        <v/>
      </c>
      <c r="AB807" s="112" t="str">
        <f t="shared" si="205"/>
        <v/>
      </c>
      <c r="AC807" s="112" t="str">
        <f t="shared" si="206"/>
        <v/>
      </c>
      <c r="AD807" s="112" t="str">
        <f t="shared" si="207"/>
        <v/>
      </c>
    </row>
    <row r="808" spans="1:30" x14ac:dyDescent="0.2">
      <c r="A808" s="112" t="str">
        <f>IF(SUM(Q808:R808)=1,1+MAX($A$1:A807),"")</f>
        <v/>
      </c>
      <c r="B808" s="112" t="str">
        <f>IF(SUM(X808:Y808)=1,1+MAX($B$1:B807),"")</f>
        <v/>
      </c>
      <c r="C808" s="112" t="str">
        <f>IF(SUM(Q808:R808,X808:Y808)=2,1+MAX($C$1:C807),"")</f>
        <v/>
      </c>
      <c r="D808" s="113">
        <v>18446</v>
      </c>
      <c r="E808" s="112">
        <v>1950</v>
      </c>
      <c r="F808" s="112" t="s">
        <v>3033</v>
      </c>
      <c r="G808" s="112">
        <v>3</v>
      </c>
      <c r="H808" s="114" t="s">
        <v>2674</v>
      </c>
      <c r="I808" s="112">
        <f t="shared" si="196"/>
        <v>2</v>
      </c>
      <c r="J808" s="112">
        <f t="shared" si="197"/>
        <v>0</v>
      </c>
      <c r="K808" s="115" t="s">
        <v>2709</v>
      </c>
      <c r="L808" s="115" t="s">
        <v>3230</v>
      </c>
      <c r="M808" s="115" t="s">
        <v>3238</v>
      </c>
      <c r="N808" s="115">
        <v>26000</v>
      </c>
      <c r="O808" s="112">
        <v>3</v>
      </c>
      <c r="P808" s="116" t="s">
        <v>2641</v>
      </c>
      <c r="Q808" s="112" t="str">
        <f t="shared" si="192"/>
        <v/>
      </c>
      <c r="R808" s="112" t="str">
        <f t="shared" si="193"/>
        <v/>
      </c>
      <c r="S808" s="112" t="str">
        <f t="shared" si="198"/>
        <v/>
      </c>
      <c r="T808" s="112" t="str">
        <f t="shared" si="199"/>
        <v/>
      </c>
      <c r="U808" s="112" t="str">
        <f t="shared" si="200"/>
        <v/>
      </c>
      <c r="V808" s="112" t="str">
        <f t="shared" si="201"/>
        <v/>
      </c>
      <c r="W808" s="112" t="str">
        <f t="shared" si="202"/>
        <v/>
      </c>
      <c r="X808" s="112" t="str">
        <f t="shared" si="194"/>
        <v/>
      </c>
      <c r="Y808" s="112" t="str">
        <f t="shared" si="195"/>
        <v/>
      </c>
      <c r="Z808" s="112" t="str">
        <f t="shared" si="203"/>
        <v/>
      </c>
      <c r="AA808" s="112" t="str">
        <f t="shared" si="204"/>
        <v/>
      </c>
      <c r="AB808" s="112" t="str">
        <f t="shared" si="205"/>
        <v/>
      </c>
      <c r="AC808" s="112" t="str">
        <f t="shared" si="206"/>
        <v/>
      </c>
      <c r="AD808" s="112" t="str">
        <f t="shared" si="207"/>
        <v/>
      </c>
    </row>
    <row r="809" spans="1:30" x14ac:dyDescent="0.2">
      <c r="A809" s="112" t="str">
        <f>IF(SUM(Q809:R809)=1,1+MAX($A$1:A808),"")</f>
        <v/>
      </c>
      <c r="B809" s="112" t="str">
        <f>IF(SUM(X809:Y809)=1,1+MAX($B$1:B808),"")</f>
        <v/>
      </c>
      <c r="C809" s="112" t="str">
        <f>IF(SUM(Q809:R809,X809:Y809)=2,1+MAX($C$1:C808),"")</f>
        <v/>
      </c>
      <c r="D809" s="113">
        <v>18446</v>
      </c>
      <c r="E809" s="112">
        <v>1950</v>
      </c>
      <c r="F809" s="112" t="s">
        <v>3024</v>
      </c>
      <c r="G809" s="112">
        <v>2</v>
      </c>
      <c r="H809" s="114" t="s">
        <v>2650</v>
      </c>
      <c r="I809" s="112">
        <f t="shared" si="196"/>
        <v>5</v>
      </c>
      <c r="J809" s="112">
        <f t="shared" si="197"/>
        <v>2</v>
      </c>
      <c r="K809" s="115" t="s">
        <v>2614</v>
      </c>
      <c r="L809" s="115" t="s">
        <v>3239</v>
      </c>
      <c r="M809" s="115" t="s">
        <v>3240</v>
      </c>
      <c r="N809" s="115">
        <v>9000</v>
      </c>
      <c r="O809" s="112">
        <v>3</v>
      </c>
      <c r="P809" s="116" t="s">
        <v>2702</v>
      </c>
      <c r="Q809" s="112" t="str">
        <f t="shared" si="192"/>
        <v/>
      </c>
      <c r="R809" s="112" t="str">
        <f t="shared" si="193"/>
        <v/>
      </c>
      <c r="S809" s="112" t="str">
        <f t="shared" si="198"/>
        <v/>
      </c>
      <c r="T809" s="112" t="str">
        <f t="shared" si="199"/>
        <v/>
      </c>
      <c r="U809" s="112" t="str">
        <f t="shared" si="200"/>
        <v/>
      </c>
      <c r="V809" s="112" t="str">
        <f t="shared" si="201"/>
        <v/>
      </c>
      <c r="W809" s="112" t="str">
        <f t="shared" si="202"/>
        <v/>
      </c>
      <c r="X809" s="112" t="str">
        <f t="shared" si="194"/>
        <v/>
      </c>
      <c r="Y809" s="112" t="str">
        <f t="shared" si="195"/>
        <v/>
      </c>
      <c r="Z809" s="112" t="str">
        <f t="shared" si="203"/>
        <v/>
      </c>
      <c r="AA809" s="112" t="str">
        <f t="shared" si="204"/>
        <v/>
      </c>
      <c r="AB809" s="112" t="str">
        <f t="shared" si="205"/>
        <v/>
      </c>
      <c r="AC809" s="112" t="str">
        <f t="shared" si="206"/>
        <v/>
      </c>
      <c r="AD809" s="112" t="str">
        <f t="shared" si="207"/>
        <v/>
      </c>
    </row>
    <row r="810" spans="1:30" x14ac:dyDescent="0.2">
      <c r="A810" s="112">
        <f>IF(SUM(Q810:R810)=1,1+MAX($A$1:A809),"")</f>
        <v>60</v>
      </c>
      <c r="B810" s="112" t="str">
        <f>IF(SUM(X810:Y810)=1,1+MAX($B$1:B809),"")</f>
        <v/>
      </c>
      <c r="C810" s="112" t="str">
        <f>IF(SUM(Q810:R810,X810:Y810)=2,1+MAX($C$1:C809),"")</f>
        <v/>
      </c>
      <c r="D810" s="113">
        <v>18446</v>
      </c>
      <c r="E810" s="112">
        <v>1950</v>
      </c>
      <c r="F810" s="112" t="s">
        <v>3024</v>
      </c>
      <c r="G810" s="112">
        <v>2</v>
      </c>
      <c r="H810" s="114" t="s">
        <v>2545</v>
      </c>
      <c r="I810" s="112">
        <f t="shared" si="196"/>
        <v>0</v>
      </c>
      <c r="J810" s="112">
        <f t="shared" si="197"/>
        <v>1</v>
      </c>
      <c r="K810" s="115" t="s">
        <v>2557</v>
      </c>
      <c r="L810" s="115" t="s">
        <v>2599</v>
      </c>
      <c r="M810" s="115" t="s">
        <v>3232</v>
      </c>
      <c r="N810" s="115">
        <v>74000</v>
      </c>
      <c r="O810" s="112">
        <v>2</v>
      </c>
      <c r="P810" s="116" t="s">
        <v>2601</v>
      </c>
      <c r="Q810" s="112">
        <f t="shared" si="192"/>
        <v>1</v>
      </c>
      <c r="R810" s="112" t="str">
        <f t="shared" si="193"/>
        <v/>
      </c>
      <c r="S810" s="112">
        <f t="shared" si="198"/>
        <v>0</v>
      </c>
      <c r="T810" s="112">
        <f t="shared" si="199"/>
        <v>0</v>
      </c>
      <c r="U810" s="112">
        <f t="shared" si="200"/>
        <v>1</v>
      </c>
      <c r="V810" s="112">
        <f t="shared" si="201"/>
        <v>1</v>
      </c>
      <c r="W810" s="112">
        <f t="shared" si="202"/>
        <v>-1</v>
      </c>
      <c r="X810" s="112" t="str">
        <f t="shared" si="194"/>
        <v/>
      </c>
      <c r="Y810" s="112" t="str">
        <f t="shared" si="195"/>
        <v/>
      </c>
      <c r="Z810" s="112" t="str">
        <f t="shared" si="203"/>
        <v/>
      </c>
      <c r="AA810" s="112" t="str">
        <f t="shared" si="204"/>
        <v/>
      </c>
      <c r="AB810" s="112" t="str">
        <f t="shared" si="205"/>
        <v/>
      </c>
      <c r="AC810" s="112" t="str">
        <f t="shared" si="206"/>
        <v/>
      </c>
      <c r="AD810" s="112" t="str">
        <f t="shared" si="207"/>
        <v/>
      </c>
    </row>
    <row r="811" spans="1:30" x14ac:dyDescent="0.2">
      <c r="A811" s="112" t="str">
        <f>IF(SUM(Q811:R811)=1,1+MAX($A$1:A810),"")</f>
        <v/>
      </c>
      <c r="B811" s="112" t="str">
        <f>IF(SUM(X811:Y811)=1,1+MAX($B$1:B810),"")</f>
        <v/>
      </c>
      <c r="C811" s="112" t="str">
        <f>IF(SUM(Q811:R811,X811:Y811)=2,1+MAX($C$1:C810),"")</f>
        <v/>
      </c>
      <c r="D811" s="113">
        <v>18446</v>
      </c>
      <c r="E811" s="112">
        <v>1950</v>
      </c>
      <c r="F811" s="112" t="s">
        <v>3035</v>
      </c>
      <c r="G811" s="112">
        <v>1</v>
      </c>
      <c r="H811" s="114" t="s">
        <v>1061</v>
      </c>
      <c r="I811" s="112">
        <f t="shared" si="196"/>
        <v>1</v>
      </c>
      <c r="J811" s="112">
        <f t="shared" si="197"/>
        <v>2</v>
      </c>
      <c r="K811" s="115" t="s">
        <v>2558</v>
      </c>
      <c r="L811" s="115" t="s">
        <v>3241</v>
      </c>
      <c r="M811" s="115" t="s">
        <v>3242</v>
      </c>
      <c r="N811" s="115">
        <v>4000</v>
      </c>
      <c r="O811" s="112">
        <v>2</v>
      </c>
      <c r="P811" s="116" t="s">
        <v>2638</v>
      </c>
      <c r="Q811" s="112" t="str">
        <f t="shared" si="192"/>
        <v/>
      </c>
      <c r="R811" s="112" t="str">
        <f t="shared" si="193"/>
        <v/>
      </c>
      <c r="S811" s="112" t="str">
        <f t="shared" si="198"/>
        <v/>
      </c>
      <c r="T811" s="112" t="str">
        <f t="shared" si="199"/>
        <v/>
      </c>
      <c r="U811" s="112" t="str">
        <f t="shared" si="200"/>
        <v/>
      </c>
      <c r="V811" s="112" t="str">
        <f t="shared" si="201"/>
        <v/>
      </c>
      <c r="W811" s="112" t="str">
        <f t="shared" si="202"/>
        <v/>
      </c>
      <c r="X811" s="112" t="str">
        <f t="shared" si="194"/>
        <v/>
      </c>
      <c r="Y811" s="112" t="str">
        <f t="shared" si="195"/>
        <v/>
      </c>
      <c r="Z811" s="112" t="str">
        <f t="shared" si="203"/>
        <v/>
      </c>
      <c r="AA811" s="112" t="str">
        <f t="shared" si="204"/>
        <v/>
      </c>
      <c r="AB811" s="112" t="str">
        <f t="shared" si="205"/>
        <v/>
      </c>
      <c r="AC811" s="112" t="str">
        <f t="shared" si="206"/>
        <v/>
      </c>
      <c r="AD811" s="112" t="str">
        <f t="shared" si="207"/>
        <v/>
      </c>
    </row>
    <row r="812" spans="1:30" x14ac:dyDescent="0.2">
      <c r="A812" s="112" t="str">
        <f>IF(SUM(Q812:R812)=1,1+MAX($A$1:A811),"")</f>
        <v/>
      </c>
      <c r="B812" s="112" t="str">
        <f>IF(SUM(X812:Y812)=1,1+MAX($B$1:B811),"")</f>
        <v/>
      </c>
      <c r="C812" s="112" t="str">
        <f>IF(SUM(Q812:R812,X812:Y812)=2,1+MAX($C$1:C811),"")</f>
        <v/>
      </c>
      <c r="D812" s="113">
        <v>18445</v>
      </c>
      <c r="E812" s="112">
        <v>1950</v>
      </c>
      <c r="F812" s="112" t="s">
        <v>3035</v>
      </c>
      <c r="G812" s="112">
        <v>1</v>
      </c>
      <c r="H812" s="114" t="s">
        <v>1442</v>
      </c>
      <c r="I812" s="112">
        <f t="shared" si="196"/>
        <v>2</v>
      </c>
      <c r="J812" s="112">
        <f t="shared" si="197"/>
        <v>0</v>
      </c>
      <c r="K812" s="115" t="s">
        <v>2862</v>
      </c>
      <c r="L812" s="115" t="s">
        <v>2599</v>
      </c>
      <c r="M812" s="115" t="s">
        <v>3197</v>
      </c>
      <c r="N812" s="115">
        <v>142000</v>
      </c>
      <c r="O812" s="112">
        <v>2</v>
      </c>
      <c r="P812" s="116" t="s">
        <v>2641</v>
      </c>
      <c r="Q812" s="112" t="str">
        <f t="shared" si="192"/>
        <v/>
      </c>
      <c r="R812" s="112" t="str">
        <f t="shared" si="193"/>
        <v/>
      </c>
      <c r="S812" s="112" t="str">
        <f t="shared" si="198"/>
        <v/>
      </c>
      <c r="T812" s="112" t="str">
        <f t="shared" si="199"/>
        <v/>
      </c>
      <c r="U812" s="112" t="str">
        <f t="shared" si="200"/>
        <v/>
      </c>
      <c r="V812" s="112" t="str">
        <f t="shared" si="201"/>
        <v/>
      </c>
      <c r="W812" s="112" t="str">
        <f t="shared" si="202"/>
        <v/>
      </c>
      <c r="X812" s="112" t="str">
        <f t="shared" si="194"/>
        <v/>
      </c>
      <c r="Y812" s="112" t="str">
        <f t="shared" si="195"/>
        <v/>
      </c>
      <c r="Z812" s="112" t="str">
        <f t="shared" si="203"/>
        <v/>
      </c>
      <c r="AA812" s="112" t="str">
        <f t="shared" si="204"/>
        <v/>
      </c>
      <c r="AB812" s="112" t="str">
        <f t="shared" si="205"/>
        <v/>
      </c>
      <c r="AC812" s="112" t="str">
        <f t="shared" si="206"/>
        <v/>
      </c>
      <c r="AD812" s="112" t="str">
        <f t="shared" si="207"/>
        <v/>
      </c>
    </row>
    <row r="813" spans="1:30" x14ac:dyDescent="0.2">
      <c r="A813" s="112" t="str">
        <f>IF(SUM(Q813:R813)=1,1+MAX($A$1:A812),"")</f>
        <v/>
      </c>
      <c r="B813" s="112" t="str">
        <f>IF(SUM(X813:Y813)=1,1+MAX($B$1:B812),"")</f>
        <v/>
      </c>
      <c r="C813" s="112" t="str">
        <f>IF(SUM(Q813:R813,X813:Y813)=2,1+MAX($C$1:C812),"")</f>
        <v/>
      </c>
      <c r="D813" s="113">
        <v>18443</v>
      </c>
      <c r="E813" s="112">
        <v>1950</v>
      </c>
      <c r="F813" s="112" t="s">
        <v>3033</v>
      </c>
      <c r="G813" s="112">
        <v>3</v>
      </c>
      <c r="H813" s="114" t="s">
        <v>2709</v>
      </c>
      <c r="I813" s="112">
        <f t="shared" si="196"/>
        <v>2</v>
      </c>
      <c r="J813" s="112">
        <f t="shared" si="197"/>
        <v>2</v>
      </c>
      <c r="K813" s="115" t="s">
        <v>2549</v>
      </c>
      <c r="L813" s="115" t="s">
        <v>3243</v>
      </c>
      <c r="M813" s="115" t="s">
        <v>3244</v>
      </c>
      <c r="N813" s="115">
        <v>8000</v>
      </c>
      <c r="O813" s="112">
        <v>3</v>
      </c>
      <c r="P813" s="116" t="s">
        <v>2697</v>
      </c>
      <c r="Q813" s="112" t="str">
        <f t="shared" si="192"/>
        <v/>
      </c>
      <c r="R813" s="112" t="str">
        <f t="shared" si="193"/>
        <v/>
      </c>
      <c r="S813" s="112" t="str">
        <f t="shared" si="198"/>
        <v/>
      </c>
      <c r="T813" s="112" t="str">
        <f t="shared" si="199"/>
        <v/>
      </c>
      <c r="U813" s="112" t="str">
        <f t="shared" si="200"/>
        <v/>
      </c>
      <c r="V813" s="112" t="str">
        <f t="shared" si="201"/>
        <v/>
      </c>
      <c r="W813" s="112" t="str">
        <f t="shared" si="202"/>
        <v/>
      </c>
      <c r="X813" s="112" t="str">
        <f t="shared" si="194"/>
        <v/>
      </c>
      <c r="Y813" s="112" t="str">
        <f t="shared" si="195"/>
        <v/>
      </c>
      <c r="Z813" s="112" t="str">
        <f t="shared" si="203"/>
        <v/>
      </c>
      <c r="AA813" s="112" t="str">
        <f t="shared" si="204"/>
        <v/>
      </c>
      <c r="AB813" s="112" t="str">
        <f t="shared" si="205"/>
        <v/>
      </c>
      <c r="AC813" s="112" t="str">
        <f t="shared" si="206"/>
        <v/>
      </c>
      <c r="AD813" s="112" t="str">
        <f t="shared" si="207"/>
        <v/>
      </c>
    </row>
    <row r="814" spans="1:30" x14ac:dyDescent="0.2">
      <c r="A814" s="112">
        <f>IF(SUM(Q814:R814)=1,1+MAX($A$1:A813),"")</f>
        <v>61</v>
      </c>
      <c r="B814" s="112" t="str">
        <f>IF(SUM(X814:Y814)=1,1+MAX($B$1:B813),"")</f>
        <v/>
      </c>
      <c r="C814" s="112" t="str">
        <f>IF(SUM(Q814:R814,X814:Y814)=2,1+MAX($C$1:C813),"")</f>
        <v/>
      </c>
      <c r="D814" s="113">
        <v>18443</v>
      </c>
      <c r="E814" s="112">
        <v>1950</v>
      </c>
      <c r="F814" s="112" t="s">
        <v>3024</v>
      </c>
      <c r="G814" s="112">
        <v>2</v>
      </c>
      <c r="H814" s="114" t="s">
        <v>2545</v>
      </c>
      <c r="I814" s="112">
        <f t="shared" si="196"/>
        <v>0</v>
      </c>
      <c r="J814" s="112">
        <f t="shared" si="197"/>
        <v>1</v>
      </c>
      <c r="K814" s="115" t="s">
        <v>2614</v>
      </c>
      <c r="L814" s="115" t="s">
        <v>3236</v>
      </c>
      <c r="M814" s="115" t="s">
        <v>3245</v>
      </c>
      <c r="N814" s="115">
        <v>10000</v>
      </c>
      <c r="O814" s="112">
        <v>3</v>
      </c>
      <c r="P814" s="116" t="s">
        <v>2601</v>
      </c>
      <c r="Q814" s="112">
        <f t="shared" si="192"/>
        <v>1</v>
      </c>
      <c r="R814" s="112" t="str">
        <f t="shared" si="193"/>
        <v/>
      </c>
      <c r="S814" s="112">
        <f t="shared" si="198"/>
        <v>0</v>
      </c>
      <c r="T814" s="112">
        <f t="shared" si="199"/>
        <v>0</v>
      </c>
      <c r="U814" s="112">
        <f t="shared" si="200"/>
        <v>1</v>
      </c>
      <c r="V814" s="112">
        <f t="shared" si="201"/>
        <v>1</v>
      </c>
      <c r="W814" s="112">
        <f t="shared" si="202"/>
        <v>-1</v>
      </c>
      <c r="X814" s="112" t="str">
        <f t="shared" si="194"/>
        <v/>
      </c>
      <c r="Y814" s="112" t="str">
        <f t="shared" si="195"/>
        <v/>
      </c>
      <c r="Z814" s="112" t="str">
        <f t="shared" si="203"/>
        <v/>
      </c>
      <c r="AA814" s="112" t="str">
        <f t="shared" si="204"/>
        <v/>
      </c>
      <c r="AB814" s="112" t="str">
        <f t="shared" si="205"/>
        <v/>
      </c>
      <c r="AC814" s="112" t="str">
        <f t="shared" si="206"/>
        <v/>
      </c>
      <c r="AD814" s="112" t="str">
        <f t="shared" si="207"/>
        <v/>
      </c>
    </row>
    <row r="815" spans="1:30" x14ac:dyDescent="0.2">
      <c r="A815" s="112" t="str">
        <f>IF(SUM(Q815:R815)=1,1+MAX($A$1:A814),"")</f>
        <v/>
      </c>
      <c r="B815" s="112" t="str">
        <f>IF(SUM(X815:Y815)=1,1+MAX($B$1:B814),"")</f>
        <v/>
      </c>
      <c r="C815" s="112" t="str">
        <f>IF(SUM(Q815:R815,X815:Y815)=2,1+MAX($C$1:C814),"")</f>
        <v/>
      </c>
      <c r="D815" s="113">
        <v>18443</v>
      </c>
      <c r="E815" s="112">
        <v>1950</v>
      </c>
      <c r="F815" s="112" t="s">
        <v>3024</v>
      </c>
      <c r="G815" s="112">
        <v>2</v>
      </c>
      <c r="H815" s="114" t="s">
        <v>2650</v>
      </c>
      <c r="I815" s="112">
        <f t="shared" si="196"/>
        <v>0</v>
      </c>
      <c r="J815" s="112">
        <f t="shared" si="197"/>
        <v>2</v>
      </c>
      <c r="K815" s="115" t="s">
        <v>2557</v>
      </c>
      <c r="L815" s="115" t="s">
        <v>2599</v>
      </c>
      <c r="M815" s="115" t="s">
        <v>3246</v>
      </c>
      <c r="N815" s="115">
        <v>16000</v>
      </c>
      <c r="O815" s="112">
        <v>2</v>
      </c>
      <c r="P815" s="116" t="s">
        <v>2687</v>
      </c>
      <c r="Q815" s="112" t="str">
        <f t="shared" si="192"/>
        <v/>
      </c>
      <c r="R815" s="112" t="str">
        <f t="shared" si="193"/>
        <v/>
      </c>
      <c r="S815" s="112" t="str">
        <f t="shared" si="198"/>
        <v/>
      </c>
      <c r="T815" s="112" t="str">
        <f t="shared" si="199"/>
        <v/>
      </c>
      <c r="U815" s="112" t="str">
        <f t="shared" si="200"/>
        <v/>
      </c>
      <c r="V815" s="112" t="str">
        <f t="shared" si="201"/>
        <v/>
      </c>
      <c r="W815" s="112" t="str">
        <f t="shared" si="202"/>
        <v/>
      </c>
      <c r="X815" s="112" t="str">
        <f t="shared" si="194"/>
        <v/>
      </c>
      <c r="Y815" s="112" t="str">
        <f t="shared" si="195"/>
        <v/>
      </c>
      <c r="Z815" s="112" t="str">
        <f t="shared" si="203"/>
        <v/>
      </c>
      <c r="AA815" s="112" t="str">
        <f t="shared" si="204"/>
        <v/>
      </c>
      <c r="AB815" s="112" t="str">
        <f t="shared" si="205"/>
        <v/>
      </c>
      <c r="AC815" s="112" t="str">
        <f t="shared" si="206"/>
        <v/>
      </c>
      <c r="AD815" s="112" t="str">
        <f t="shared" si="207"/>
        <v/>
      </c>
    </row>
    <row r="816" spans="1:30" x14ac:dyDescent="0.2">
      <c r="A816" s="112" t="str">
        <f>IF(SUM(Q816:R816)=1,1+MAX($A$1:A815),"")</f>
        <v/>
      </c>
      <c r="B816" s="112" t="str">
        <f>IF(SUM(X816:Y816)=1,1+MAX($B$1:B815),"")</f>
        <v/>
      </c>
      <c r="C816" s="112" t="str">
        <f>IF(SUM(Q816:R816,X816:Y816)=2,1+MAX($C$1:C815),"")</f>
        <v/>
      </c>
      <c r="D816" s="113">
        <v>18443</v>
      </c>
      <c r="E816" s="112">
        <v>1950</v>
      </c>
      <c r="F816" s="118" t="s">
        <v>3060</v>
      </c>
      <c r="H816" s="114" t="s">
        <v>1061</v>
      </c>
      <c r="I816" s="112">
        <f t="shared" si="196"/>
        <v>1</v>
      </c>
      <c r="J816" s="112">
        <f t="shared" si="197"/>
        <v>4</v>
      </c>
      <c r="K816" s="115" t="s">
        <v>2862</v>
      </c>
      <c r="L816" s="115" t="s">
        <v>3247</v>
      </c>
      <c r="O816" s="112">
        <v>0</v>
      </c>
      <c r="P816" s="116" t="s">
        <v>2743</v>
      </c>
      <c r="Q816" s="112" t="str">
        <f t="shared" si="192"/>
        <v/>
      </c>
      <c r="R816" s="112" t="str">
        <f t="shared" si="193"/>
        <v/>
      </c>
      <c r="S816" s="112" t="str">
        <f t="shared" si="198"/>
        <v/>
      </c>
      <c r="T816" s="112" t="str">
        <f t="shared" si="199"/>
        <v/>
      </c>
      <c r="U816" s="112" t="str">
        <f t="shared" si="200"/>
        <v/>
      </c>
      <c r="V816" s="112" t="str">
        <f t="shared" si="201"/>
        <v/>
      </c>
      <c r="W816" s="112" t="str">
        <f t="shared" si="202"/>
        <v/>
      </c>
      <c r="X816" s="112" t="str">
        <f t="shared" si="194"/>
        <v/>
      </c>
      <c r="Y816" s="112" t="str">
        <f t="shared" si="195"/>
        <v/>
      </c>
      <c r="Z816" s="112" t="str">
        <f t="shared" si="203"/>
        <v/>
      </c>
      <c r="AA816" s="112" t="str">
        <f t="shared" si="204"/>
        <v/>
      </c>
      <c r="AB816" s="112" t="str">
        <f t="shared" si="205"/>
        <v/>
      </c>
      <c r="AC816" s="112" t="str">
        <f t="shared" si="206"/>
        <v/>
      </c>
      <c r="AD816" s="112" t="str">
        <f t="shared" si="207"/>
        <v/>
      </c>
    </row>
    <row r="817" spans="1:30" x14ac:dyDescent="0.2">
      <c r="A817" s="112" t="str">
        <f>IF(SUM(Q817:R817)=1,1+MAX($A$1:A816),"")</f>
        <v/>
      </c>
      <c r="B817" s="112" t="str">
        <f>IF(SUM(X817:Y817)=1,1+MAX($B$1:B816),"")</f>
        <v/>
      </c>
      <c r="C817" s="112" t="str">
        <f>IF(SUM(Q817:R817,X817:Y817)=2,1+MAX($C$1:C816),"")</f>
        <v/>
      </c>
      <c r="D817" s="113">
        <v>18442</v>
      </c>
      <c r="E817" s="112">
        <v>1950</v>
      </c>
      <c r="F817" s="112" t="s">
        <v>3035</v>
      </c>
      <c r="G817" s="112">
        <v>1</v>
      </c>
      <c r="H817" s="114" t="s">
        <v>1061</v>
      </c>
      <c r="I817" s="112">
        <f t="shared" si="196"/>
        <v>1</v>
      </c>
      <c r="J817" s="112">
        <f t="shared" si="197"/>
        <v>4</v>
      </c>
      <c r="K817" s="115" t="s">
        <v>2862</v>
      </c>
      <c r="L817" s="115" t="s">
        <v>3241</v>
      </c>
      <c r="M817" s="115" t="s">
        <v>3248</v>
      </c>
      <c r="N817" s="115">
        <v>11000</v>
      </c>
      <c r="O817" s="112">
        <v>2</v>
      </c>
      <c r="P817" s="116" t="s">
        <v>2743</v>
      </c>
      <c r="Q817" s="112" t="str">
        <f t="shared" si="192"/>
        <v/>
      </c>
      <c r="R817" s="112" t="str">
        <f t="shared" si="193"/>
        <v/>
      </c>
      <c r="S817" s="112" t="str">
        <f t="shared" si="198"/>
        <v/>
      </c>
      <c r="T817" s="112" t="str">
        <f t="shared" si="199"/>
        <v/>
      </c>
      <c r="U817" s="112" t="str">
        <f t="shared" si="200"/>
        <v/>
      </c>
      <c r="V817" s="112" t="str">
        <f t="shared" si="201"/>
        <v/>
      </c>
      <c r="W817" s="112" t="str">
        <f t="shared" si="202"/>
        <v/>
      </c>
      <c r="X817" s="112" t="str">
        <f t="shared" si="194"/>
        <v/>
      </c>
      <c r="Y817" s="112" t="str">
        <f t="shared" si="195"/>
        <v/>
      </c>
      <c r="Z817" s="112" t="str">
        <f t="shared" si="203"/>
        <v/>
      </c>
      <c r="AA817" s="112" t="str">
        <f t="shared" si="204"/>
        <v/>
      </c>
      <c r="AB817" s="112" t="str">
        <f t="shared" si="205"/>
        <v/>
      </c>
      <c r="AC817" s="112" t="str">
        <f t="shared" si="206"/>
        <v/>
      </c>
      <c r="AD817" s="112" t="str">
        <f t="shared" si="207"/>
        <v/>
      </c>
    </row>
    <row r="818" spans="1:30" x14ac:dyDescent="0.2">
      <c r="A818" s="112" t="str">
        <f>IF(SUM(Q818:R818)=1,1+MAX($A$1:A817),"")</f>
        <v/>
      </c>
      <c r="B818" s="112" t="str">
        <f>IF(SUM(X818:Y818)=1,1+MAX($B$1:B817),"")</f>
        <v/>
      </c>
      <c r="C818" s="112" t="str">
        <f>IF(SUM(Q818:R818,X818:Y818)=2,1+MAX($C$1:C817),"")</f>
        <v/>
      </c>
      <c r="D818" s="113">
        <v>18442</v>
      </c>
      <c r="E818" s="112">
        <v>1950</v>
      </c>
      <c r="F818" s="112" t="s">
        <v>3035</v>
      </c>
      <c r="G818" s="112">
        <v>1</v>
      </c>
      <c r="H818" s="114" t="s">
        <v>1442</v>
      </c>
      <c r="I818" s="112">
        <f t="shared" si="196"/>
        <v>2</v>
      </c>
      <c r="J818" s="112">
        <f t="shared" si="197"/>
        <v>2</v>
      </c>
      <c r="K818" s="115" t="s">
        <v>2558</v>
      </c>
      <c r="L818" s="115" t="s">
        <v>3230</v>
      </c>
      <c r="M818" s="115" t="s">
        <v>3249</v>
      </c>
      <c r="N818" s="115">
        <v>42000</v>
      </c>
      <c r="O818" s="112">
        <v>2</v>
      </c>
      <c r="P818" s="116" t="s">
        <v>2697</v>
      </c>
      <c r="Q818" s="112" t="str">
        <f t="shared" si="192"/>
        <v/>
      </c>
      <c r="R818" s="112" t="str">
        <f t="shared" si="193"/>
        <v/>
      </c>
      <c r="S818" s="112" t="str">
        <f t="shared" si="198"/>
        <v/>
      </c>
      <c r="T818" s="112" t="str">
        <f t="shared" si="199"/>
        <v/>
      </c>
      <c r="U818" s="112" t="str">
        <f t="shared" si="200"/>
        <v/>
      </c>
      <c r="V818" s="112" t="str">
        <f t="shared" si="201"/>
        <v/>
      </c>
      <c r="W818" s="112" t="str">
        <f t="shared" si="202"/>
        <v/>
      </c>
      <c r="X818" s="112" t="str">
        <f t="shared" si="194"/>
        <v/>
      </c>
      <c r="Y818" s="112" t="str">
        <f t="shared" si="195"/>
        <v/>
      </c>
      <c r="Z818" s="112" t="str">
        <f t="shared" si="203"/>
        <v/>
      </c>
      <c r="AA818" s="112" t="str">
        <f t="shared" si="204"/>
        <v/>
      </c>
      <c r="AB818" s="112" t="str">
        <f t="shared" si="205"/>
        <v/>
      </c>
      <c r="AC818" s="112" t="str">
        <f t="shared" si="206"/>
        <v/>
      </c>
      <c r="AD818" s="112" t="str">
        <f t="shared" si="207"/>
        <v/>
      </c>
    </row>
    <row r="819" spans="1:30" x14ac:dyDescent="0.2">
      <c r="A819" s="112" t="str">
        <f>IF(SUM(Q819:R819)=1,1+MAX($A$1:A818),"")</f>
        <v/>
      </c>
      <c r="B819" s="112" t="str">
        <f>IF(SUM(X819:Y819)=1,1+MAX($B$1:B818),"")</f>
        <v/>
      </c>
      <c r="C819" s="112" t="str">
        <f>IF(SUM(Q819:R819,X819:Y819)=2,1+MAX($C$1:C818),"")</f>
        <v/>
      </c>
      <c r="D819" s="113">
        <v>18439</v>
      </c>
      <c r="E819" s="112">
        <v>1950</v>
      </c>
      <c r="F819" s="112" t="s">
        <v>3033</v>
      </c>
      <c r="G819" s="112">
        <v>3</v>
      </c>
      <c r="H819" s="114" t="s">
        <v>2674</v>
      </c>
      <c r="I819" s="112">
        <f t="shared" si="196"/>
        <v>2</v>
      </c>
      <c r="J819" s="112">
        <f t="shared" si="197"/>
        <v>3</v>
      </c>
      <c r="K819" s="115" t="s">
        <v>2549</v>
      </c>
      <c r="L819" s="115" t="s">
        <v>3230</v>
      </c>
      <c r="M819" s="115" t="s">
        <v>3250</v>
      </c>
      <c r="N819" s="115">
        <v>36000</v>
      </c>
      <c r="O819" s="112">
        <v>2</v>
      </c>
      <c r="P819" s="116" t="s">
        <v>2706</v>
      </c>
      <c r="Q819" s="112" t="str">
        <f t="shared" si="192"/>
        <v/>
      </c>
      <c r="R819" s="112" t="str">
        <f t="shared" si="193"/>
        <v/>
      </c>
      <c r="S819" s="112" t="str">
        <f t="shared" si="198"/>
        <v/>
      </c>
      <c r="T819" s="112" t="str">
        <f t="shared" si="199"/>
        <v/>
      </c>
      <c r="U819" s="112" t="str">
        <f t="shared" si="200"/>
        <v/>
      </c>
      <c r="V819" s="112" t="str">
        <f t="shared" si="201"/>
        <v/>
      </c>
      <c r="W819" s="112" t="str">
        <f t="shared" si="202"/>
        <v/>
      </c>
      <c r="X819" s="112" t="str">
        <f t="shared" si="194"/>
        <v/>
      </c>
      <c r="Y819" s="112" t="str">
        <f t="shared" si="195"/>
        <v/>
      </c>
      <c r="Z819" s="112" t="str">
        <f t="shared" si="203"/>
        <v/>
      </c>
      <c r="AA819" s="112" t="str">
        <f t="shared" si="204"/>
        <v/>
      </c>
      <c r="AB819" s="112" t="str">
        <f t="shared" si="205"/>
        <v/>
      </c>
      <c r="AC819" s="112" t="str">
        <f t="shared" si="206"/>
        <v/>
      </c>
      <c r="AD819" s="112" t="str">
        <f t="shared" si="207"/>
        <v/>
      </c>
    </row>
    <row r="820" spans="1:30" x14ac:dyDescent="0.2">
      <c r="A820" s="112" t="str">
        <f>IF(SUM(Q820:R820)=1,1+MAX($A$1:A819),"")</f>
        <v/>
      </c>
      <c r="B820" s="112" t="str">
        <f>IF(SUM(X820:Y820)=1,1+MAX($B$1:B819),"")</f>
        <v/>
      </c>
      <c r="C820" s="112" t="str">
        <f>IF(SUM(Q820:R820,X820:Y820)=2,1+MAX($C$1:C819),"")</f>
        <v/>
      </c>
      <c r="D820" s="113">
        <v>18439</v>
      </c>
      <c r="E820" s="112">
        <v>1950</v>
      </c>
      <c r="F820" s="112" t="s">
        <v>3024</v>
      </c>
      <c r="G820" s="112">
        <v>2</v>
      </c>
      <c r="H820" s="114" t="s">
        <v>2557</v>
      </c>
      <c r="I820" s="112">
        <f t="shared" si="196"/>
        <v>3</v>
      </c>
      <c r="J820" s="112">
        <f t="shared" si="197"/>
        <v>1</v>
      </c>
      <c r="K820" s="115" t="s">
        <v>2614</v>
      </c>
      <c r="L820" s="115" t="s">
        <v>3243</v>
      </c>
      <c r="M820" s="115" t="s">
        <v>3225</v>
      </c>
      <c r="N820" s="115">
        <v>10000</v>
      </c>
      <c r="O820" s="112">
        <v>3</v>
      </c>
      <c r="P820" s="116" t="s">
        <v>2663</v>
      </c>
      <c r="Q820" s="112" t="str">
        <f t="shared" si="192"/>
        <v/>
      </c>
      <c r="R820" s="112" t="str">
        <f t="shared" si="193"/>
        <v/>
      </c>
      <c r="S820" s="112" t="str">
        <f t="shared" si="198"/>
        <v/>
      </c>
      <c r="T820" s="112" t="str">
        <f t="shared" si="199"/>
        <v/>
      </c>
      <c r="U820" s="112" t="str">
        <f t="shared" si="200"/>
        <v/>
      </c>
      <c r="V820" s="112" t="str">
        <f t="shared" si="201"/>
        <v/>
      </c>
      <c r="W820" s="112" t="str">
        <f t="shared" si="202"/>
        <v/>
      </c>
      <c r="X820" s="112" t="str">
        <f t="shared" si="194"/>
        <v/>
      </c>
      <c r="Y820" s="112" t="str">
        <f t="shared" si="195"/>
        <v/>
      </c>
      <c r="Z820" s="112" t="str">
        <f t="shared" si="203"/>
        <v/>
      </c>
      <c r="AA820" s="112" t="str">
        <f t="shared" si="204"/>
        <v/>
      </c>
      <c r="AB820" s="112" t="str">
        <f t="shared" si="205"/>
        <v/>
      </c>
      <c r="AC820" s="112" t="str">
        <f t="shared" si="206"/>
        <v/>
      </c>
      <c r="AD820" s="112" t="str">
        <f t="shared" si="207"/>
        <v/>
      </c>
    </row>
    <row r="821" spans="1:30" x14ac:dyDescent="0.2">
      <c r="A821" s="112">
        <f>IF(SUM(Q821:R821)=1,1+MAX($A$1:A820),"")</f>
        <v>62</v>
      </c>
      <c r="B821" s="112" t="str">
        <f>IF(SUM(X821:Y821)=1,1+MAX($B$1:B820),"")</f>
        <v/>
      </c>
      <c r="C821" s="112" t="str">
        <f>IF(SUM(Q821:R821,X821:Y821)=2,1+MAX($C$1:C820),"")</f>
        <v/>
      </c>
      <c r="D821" s="113">
        <v>18439</v>
      </c>
      <c r="E821" s="112">
        <v>1950</v>
      </c>
      <c r="F821" s="112" t="s">
        <v>3024</v>
      </c>
      <c r="G821" s="112">
        <v>2</v>
      </c>
      <c r="H821" s="114" t="s">
        <v>2650</v>
      </c>
      <c r="I821" s="112">
        <f t="shared" si="196"/>
        <v>0</v>
      </c>
      <c r="J821" s="112">
        <f t="shared" si="197"/>
        <v>2</v>
      </c>
      <c r="K821" s="115" t="s">
        <v>2545</v>
      </c>
      <c r="L821" s="115" t="s">
        <v>2599</v>
      </c>
      <c r="M821" s="115" t="s">
        <v>3251</v>
      </c>
      <c r="N821" s="115">
        <v>30000</v>
      </c>
      <c r="O821" s="112">
        <v>2</v>
      </c>
      <c r="P821" s="116" t="s">
        <v>2687</v>
      </c>
      <c r="Q821" s="112" t="str">
        <f t="shared" si="192"/>
        <v/>
      </c>
      <c r="R821" s="112">
        <f t="shared" si="193"/>
        <v>1</v>
      </c>
      <c r="S821" s="112">
        <f t="shared" si="198"/>
        <v>1</v>
      </c>
      <c r="T821" s="112">
        <f t="shared" si="199"/>
        <v>0</v>
      </c>
      <c r="U821" s="112">
        <f t="shared" si="200"/>
        <v>0</v>
      </c>
      <c r="V821" s="112">
        <f t="shared" si="201"/>
        <v>2</v>
      </c>
      <c r="W821" s="112">
        <f t="shared" si="202"/>
        <v>2</v>
      </c>
      <c r="X821" s="112" t="str">
        <f t="shared" si="194"/>
        <v/>
      </c>
      <c r="Y821" s="112" t="str">
        <f t="shared" si="195"/>
        <v/>
      </c>
      <c r="Z821" s="112" t="str">
        <f t="shared" si="203"/>
        <v/>
      </c>
      <c r="AA821" s="112" t="str">
        <f t="shared" si="204"/>
        <v/>
      </c>
      <c r="AB821" s="112" t="str">
        <f t="shared" si="205"/>
        <v/>
      </c>
      <c r="AC821" s="112" t="str">
        <f t="shared" si="206"/>
        <v/>
      </c>
      <c r="AD821" s="112" t="str">
        <f t="shared" si="207"/>
        <v/>
      </c>
    </row>
    <row r="822" spans="1:30" x14ac:dyDescent="0.2">
      <c r="A822" s="112" t="str">
        <f>IF(SUM(Q822:R822)=1,1+MAX($A$1:A821),"")</f>
        <v/>
      </c>
      <c r="B822" s="112" t="str">
        <f>IF(SUM(X822:Y822)=1,1+MAX($B$1:B821),"")</f>
        <v/>
      </c>
      <c r="C822" s="112" t="str">
        <f>IF(SUM(Q822:R822,X822:Y822)=2,1+MAX($C$1:C821),"")</f>
        <v/>
      </c>
      <c r="D822" s="113">
        <v>18439</v>
      </c>
      <c r="E822" s="112">
        <v>1950</v>
      </c>
      <c r="F822" s="112" t="s">
        <v>3035</v>
      </c>
      <c r="G822" s="112">
        <v>1</v>
      </c>
      <c r="H822" s="114" t="s">
        <v>2558</v>
      </c>
      <c r="I822" s="112">
        <f t="shared" si="196"/>
        <v>0</v>
      </c>
      <c r="J822" s="112">
        <f t="shared" si="197"/>
        <v>3</v>
      </c>
      <c r="K822" s="115" t="s">
        <v>2862</v>
      </c>
      <c r="L822" s="115" t="s">
        <v>3236</v>
      </c>
      <c r="M822" s="115" t="s">
        <v>3232</v>
      </c>
      <c r="N822" s="115">
        <v>7500</v>
      </c>
      <c r="O822" s="112">
        <v>2</v>
      </c>
      <c r="P822" s="116" t="s">
        <v>2607</v>
      </c>
      <c r="Q822" s="112" t="str">
        <f t="shared" si="192"/>
        <v/>
      </c>
      <c r="R822" s="112" t="str">
        <f t="shared" si="193"/>
        <v/>
      </c>
      <c r="S822" s="112" t="str">
        <f t="shared" si="198"/>
        <v/>
      </c>
      <c r="T822" s="112" t="str">
        <f t="shared" si="199"/>
        <v/>
      </c>
      <c r="U822" s="112" t="str">
        <f t="shared" si="200"/>
        <v/>
      </c>
      <c r="V822" s="112" t="str">
        <f t="shared" si="201"/>
        <v/>
      </c>
      <c r="W822" s="112" t="str">
        <f t="shared" si="202"/>
        <v/>
      </c>
      <c r="X822" s="112" t="str">
        <f t="shared" si="194"/>
        <v/>
      </c>
      <c r="Y822" s="112" t="str">
        <f t="shared" si="195"/>
        <v/>
      </c>
      <c r="Z822" s="112" t="str">
        <f t="shared" si="203"/>
        <v/>
      </c>
      <c r="AA822" s="112" t="str">
        <f t="shared" si="204"/>
        <v/>
      </c>
      <c r="AB822" s="112" t="str">
        <f t="shared" si="205"/>
        <v/>
      </c>
      <c r="AC822" s="112" t="str">
        <f t="shared" si="206"/>
        <v/>
      </c>
      <c r="AD822" s="112" t="str">
        <f t="shared" si="207"/>
        <v/>
      </c>
    </row>
    <row r="823" spans="1:30" x14ac:dyDescent="0.2">
      <c r="A823" s="112" t="str">
        <f>IF(SUM(Q823:R823)=1,1+MAX($A$1:A822),"")</f>
        <v/>
      </c>
      <c r="B823" s="112" t="str">
        <f>IF(SUM(X823:Y823)=1,1+MAX($B$1:B822),"")</f>
        <v/>
      </c>
      <c r="C823" s="112" t="str">
        <f>IF(SUM(Q823:R823,X823:Y823)=2,1+MAX($C$1:C822),"")</f>
        <v/>
      </c>
      <c r="D823" s="113">
        <v>18438</v>
      </c>
      <c r="E823" s="112">
        <v>1950</v>
      </c>
      <c r="F823" s="112" t="s">
        <v>3035</v>
      </c>
      <c r="G823" s="112">
        <v>1</v>
      </c>
      <c r="H823" s="114" t="s">
        <v>1442</v>
      </c>
      <c r="I823" s="112">
        <f t="shared" si="196"/>
        <v>4</v>
      </c>
      <c r="J823" s="112">
        <f t="shared" si="197"/>
        <v>0</v>
      </c>
      <c r="K823" s="115" t="s">
        <v>1061</v>
      </c>
      <c r="L823" s="115" t="s">
        <v>2599</v>
      </c>
      <c r="M823" s="115" t="s">
        <v>3229</v>
      </c>
      <c r="N823" s="115">
        <v>82000</v>
      </c>
      <c r="O823" s="112">
        <v>2</v>
      </c>
      <c r="P823" s="116" t="s">
        <v>2710</v>
      </c>
      <c r="Q823" s="112" t="str">
        <f t="shared" si="192"/>
        <v/>
      </c>
      <c r="R823" s="112" t="str">
        <f t="shared" si="193"/>
        <v/>
      </c>
      <c r="S823" s="112" t="str">
        <f t="shared" si="198"/>
        <v/>
      </c>
      <c r="T823" s="112" t="str">
        <f t="shared" si="199"/>
        <v/>
      </c>
      <c r="U823" s="112" t="str">
        <f t="shared" si="200"/>
        <v/>
      </c>
      <c r="V823" s="112" t="str">
        <f t="shared" si="201"/>
        <v/>
      </c>
      <c r="W823" s="112" t="str">
        <f t="shared" si="202"/>
        <v/>
      </c>
      <c r="X823" s="112" t="str">
        <f t="shared" si="194"/>
        <v/>
      </c>
      <c r="Y823" s="112" t="str">
        <f t="shared" si="195"/>
        <v/>
      </c>
      <c r="Z823" s="112" t="str">
        <f t="shared" si="203"/>
        <v/>
      </c>
      <c r="AA823" s="112" t="str">
        <f t="shared" si="204"/>
        <v/>
      </c>
      <c r="AB823" s="112" t="str">
        <f t="shared" si="205"/>
        <v/>
      </c>
      <c r="AC823" s="112" t="str">
        <f t="shared" si="206"/>
        <v/>
      </c>
      <c r="AD823" s="112" t="str">
        <f t="shared" si="207"/>
        <v/>
      </c>
    </row>
    <row r="824" spans="1:30" x14ac:dyDescent="0.2">
      <c r="A824" s="112" t="str">
        <f>IF(SUM(Q824:R824)=1,1+MAX($A$1:A823),"")</f>
        <v/>
      </c>
      <c r="B824" s="112" t="str">
        <f>IF(SUM(X824:Y824)=1,1+MAX($B$1:B823),"")</f>
        <v/>
      </c>
      <c r="C824" s="112" t="str">
        <f>IF(SUM(Q824:R824,X824:Y824)=2,1+MAX($C$1:C823),"")</f>
        <v/>
      </c>
      <c r="D824" s="113">
        <v>14050</v>
      </c>
      <c r="E824" s="112">
        <v>1938</v>
      </c>
      <c r="F824" s="118" t="s">
        <v>3060</v>
      </c>
      <c r="H824" s="114" t="s">
        <v>2725</v>
      </c>
      <c r="I824" s="112">
        <f t="shared" si="196"/>
        <v>2</v>
      </c>
      <c r="J824" s="112">
        <f t="shared" si="197"/>
        <v>4</v>
      </c>
      <c r="K824" s="115" t="s">
        <v>2674</v>
      </c>
      <c r="L824" s="115" t="s">
        <v>3252</v>
      </c>
      <c r="N824" s="115">
        <v>45000</v>
      </c>
      <c r="O824" s="112">
        <v>1</v>
      </c>
      <c r="P824" s="116" t="s">
        <v>2796</v>
      </c>
      <c r="Q824" s="112" t="str">
        <f t="shared" si="192"/>
        <v/>
      </c>
      <c r="R824" s="112" t="str">
        <f t="shared" si="193"/>
        <v/>
      </c>
      <c r="S824" s="112" t="str">
        <f t="shared" si="198"/>
        <v/>
      </c>
      <c r="T824" s="112" t="str">
        <f t="shared" si="199"/>
        <v/>
      </c>
      <c r="U824" s="112" t="str">
        <f t="shared" si="200"/>
        <v/>
      </c>
      <c r="V824" s="112" t="str">
        <f t="shared" si="201"/>
        <v/>
      </c>
      <c r="W824" s="112" t="str">
        <f t="shared" si="202"/>
        <v/>
      </c>
      <c r="X824" s="112" t="str">
        <f t="shared" si="194"/>
        <v/>
      </c>
      <c r="Y824" s="112" t="str">
        <f t="shared" si="195"/>
        <v/>
      </c>
      <c r="Z824" s="112" t="str">
        <f t="shared" si="203"/>
        <v/>
      </c>
      <c r="AA824" s="112" t="str">
        <f t="shared" si="204"/>
        <v/>
      </c>
      <c r="AB824" s="112" t="str">
        <f t="shared" si="205"/>
        <v/>
      </c>
      <c r="AC824" s="112" t="str">
        <f t="shared" si="206"/>
        <v/>
      </c>
      <c r="AD824" s="112" t="str">
        <f t="shared" si="207"/>
        <v/>
      </c>
    </row>
    <row r="825" spans="1:30" x14ac:dyDescent="0.2">
      <c r="A825" s="112" t="str">
        <f>IF(SUM(Q825:R825)=1,1+MAX($A$1:A824),"")</f>
        <v/>
      </c>
      <c r="B825" s="112" t="str">
        <f>IF(SUM(X825:Y825)=1,1+MAX($B$1:B824),"")</f>
        <v/>
      </c>
      <c r="C825" s="112" t="str">
        <f>IF(SUM(Q825:R825,X825:Y825)=2,1+MAX($C$1:C824),"")</f>
        <v/>
      </c>
      <c r="D825" s="113">
        <v>14050</v>
      </c>
      <c r="E825" s="112">
        <v>1938</v>
      </c>
      <c r="F825" s="118" t="s">
        <v>3060</v>
      </c>
      <c r="H825" s="114" t="s">
        <v>1442</v>
      </c>
      <c r="I825" s="112">
        <f t="shared" si="196"/>
        <v>4</v>
      </c>
      <c r="J825" s="112">
        <f t="shared" si="197"/>
        <v>2</v>
      </c>
      <c r="K825" s="115" t="s">
        <v>2549</v>
      </c>
      <c r="L825" s="115" t="s">
        <v>2860</v>
      </c>
      <c r="M825" s="115" t="s">
        <v>3253</v>
      </c>
      <c r="N825" s="115">
        <v>12000</v>
      </c>
      <c r="O825" s="112">
        <v>2</v>
      </c>
      <c r="P825" s="116" t="s">
        <v>2695</v>
      </c>
      <c r="Q825" s="112" t="str">
        <f t="shared" si="192"/>
        <v/>
      </c>
      <c r="R825" s="112" t="str">
        <f t="shared" si="193"/>
        <v/>
      </c>
      <c r="S825" s="112" t="str">
        <f t="shared" si="198"/>
        <v/>
      </c>
      <c r="T825" s="112" t="str">
        <f t="shared" si="199"/>
        <v/>
      </c>
      <c r="U825" s="112" t="str">
        <f t="shared" si="200"/>
        <v/>
      </c>
      <c r="V825" s="112" t="str">
        <f t="shared" si="201"/>
        <v/>
      </c>
      <c r="W825" s="112" t="str">
        <f t="shared" si="202"/>
        <v/>
      </c>
      <c r="X825" s="112" t="str">
        <f t="shared" si="194"/>
        <v/>
      </c>
      <c r="Y825" s="112" t="str">
        <f t="shared" si="195"/>
        <v/>
      </c>
      <c r="Z825" s="112" t="str">
        <f t="shared" si="203"/>
        <v/>
      </c>
      <c r="AA825" s="112" t="str">
        <f t="shared" si="204"/>
        <v/>
      </c>
      <c r="AB825" s="112" t="str">
        <f t="shared" si="205"/>
        <v/>
      </c>
      <c r="AC825" s="112" t="str">
        <f t="shared" si="206"/>
        <v/>
      </c>
      <c r="AD825" s="112" t="str">
        <f t="shared" si="207"/>
        <v/>
      </c>
    </row>
    <row r="826" spans="1:30" x14ac:dyDescent="0.2">
      <c r="A826" s="112" t="str">
        <f>IF(SUM(Q826:R826)=1,1+MAX($A$1:A825),"")</f>
        <v/>
      </c>
      <c r="B826" s="112" t="str">
        <f>IF(SUM(X826:Y826)=1,1+MAX($B$1:B825),"")</f>
        <v/>
      </c>
      <c r="C826" s="112" t="str">
        <f>IF(SUM(Q826:R826,X826:Y826)=2,1+MAX($C$1:C825),"")</f>
        <v/>
      </c>
      <c r="D826" s="113">
        <v>14047</v>
      </c>
      <c r="E826" s="112">
        <v>1938</v>
      </c>
      <c r="F826" s="118" t="s">
        <v>3060</v>
      </c>
      <c r="H826" s="114" t="s">
        <v>1442</v>
      </c>
      <c r="I826" s="112">
        <f t="shared" si="196"/>
        <v>1</v>
      </c>
      <c r="J826" s="112">
        <f t="shared" si="197"/>
        <v>2</v>
      </c>
      <c r="K826" s="115" t="s">
        <v>2674</v>
      </c>
      <c r="L826" s="115" t="s">
        <v>2854</v>
      </c>
      <c r="M826" s="115" t="s">
        <v>3254</v>
      </c>
      <c r="N826" s="115">
        <v>33000</v>
      </c>
      <c r="O826" s="112">
        <v>2</v>
      </c>
      <c r="P826" s="116" t="s">
        <v>2638</v>
      </c>
      <c r="Q826" s="112" t="str">
        <f t="shared" si="192"/>
        <v/>
      </c>
      <c r="R826" s="112" t="str">
        <f t="shared" si="193"/>
        <v/>
      </c>
      <c r="S826" s="112" t="str">
        <f t="shared" si="198"/>
        <v/>
      </c>
      <c r="T826" s="112" t="str">
        <f t="shared" si="199"/>
        <v/>
      </c>
      <c r="U826" s="112" t="str">
        <f t="shared" si="200"/>
        <v/>
      </c>
      <c r="V826" s="112" t="str">
        <f t="shared" si="201"/>
        <v/>
      </c>
      <c r="W826" s="112" t="str">
        <f t="shared" si="202"/>
        <v/>
      </c>
      <c r="X826" s="112" t="str">
        <f t="shared" si="194"/>
        <v/>
      </c>
      <c r="Y826" s="112" t="str">
        <f t="shared" si="195"/>
        <v/>
      </c>
      <c r="Z826" s="112" t="str">
        <f t="shared" si="203"/>
        <v/>
      </c>
      <c r="AA826" s="112" t="str">
        <f t="shared" si="204"/>
        <v/>
      </c>
      <c r="AB826" s="112" t="str">
        <f t="shared" si="205"/>
        <v/>
      </c>
      <c r="AC826" s="112" t="str">
        <f t="shared" si="206"/>
        <v/>
      </c>
      <c r="AD826" s="112" t="str">
        <f t="shared" si="207"/>
        <v/>
      </c>
    </row>
    <row r="827" spans="1:30" x14ac:dyDescent="0.2">
      <c r="A827" s="112" t="str">
        <f>IF(SUM(Q827:R827)=1,1+MAX($A$1:A826),"")</f>
        <v/>
      </c>
      <c r="B827" s="112" t="str">
        <f>IF(SUM(X827:Y827)=1,1+MAX($B$1:B826),"")</f>
        <v/>
      </c>
      <c r="C827" s="112" t="str">
        <f>IF(SUM(Q827:R827,X827:Y827)=2,1+MAX($C$1:C826),"")</f>
        <v/>
      </c>
      <c r="D827" s="113">
        <v>14047</v>
      </c>
      <c r="E827" s="112">
        <v>1938</v>
      </c>
      <c r="F827" s="118" t="s">
        <v>3060</v>
      </c>
      <c r="H827" s="114" t="s">
        <v>2725</v>
      </c>
      <c r="I827" s="112">
        <f t="shared" si="196"/>
        <v>5</v>
      </c>
      <c r="J827" s="112">
        <f t="shared" si="197"/>
        <v>1</v>
      </c>
      <c r="K827" s="115" t="s">
        <v>2549</v>
      </c>
      <c r="L827" s="115" t="s">
        <v>2851</v>
      </c>
      <c r="N827" s="115">
        <v>20000</v>
      </c>
      <c r="O827" s="112">
        <v>1</v>
      </c>
      <c r="P827" s="116" t="s">
        <v>2719</v>
      </c>
      <c r="Q827" s="112" t="str">
        <f t="shared" si="192"/>
        <v/>
      </c>
      <c r="R827" s="112" t="str">
        <f t="shared" si="193"/>
        <v/>
      </c>
      <c r="S827" s="112" t="str">
        <f t="shared" si="198"/>
        <v/>
      </c>
      <c r="T827" s="112" t="str">
        <f t="shared" si="199"/>
        <v/>
      </c>
      <c r="U827" s="112" t="str">
        <f t="shared" si="200"/>
        <v/>
      </c>
      <c r="V827" s="112" t="str">
        <f t="shared" si="201"/>
        <v/>
      </c>
      <c r="W827" s="112" t="str">
        <f t="shared" si="202"/>
        <v/>
      </c>
      <c r="X827" s="112" t="str">
        <f t="shared" si="194"/>
        <v/>
      </c>
      <c r="Y827" s="112" t="str">
        <f t="shared" si="195"/>
        <v/>
      </c>
      <c r="Z827" s="112" t="str">
        <f t="shared" si="203"/>
        <v/>
      </c>
      <c r="AA827" s="112" t="str">
        <f t="shared" si="204"/>
        <v/>
      </c>
      <c r="AB827" s="112" t="str">
        <f t="shared" si="205"/>
        <v/>
      </c>
      <c r="AC827" s="112" t="str">
        <f t="shared" si="206"/>
        <v/>
      </c>
      <c r="AD827" s="112" t="str">
        <f t="shared" si="207"/>
        <v/>
      </c>
    </row>
    <row r="828" spans="1:30" x14ac:dyDescent="0.2">
      <c r="A828" s="112" t="str">
        <f>IF(SUM(Q828:R828)=1,1+MAX($A$1:A827),"")</f>
        <v/>
      </c>
      <c r="B828" s="112" t="str">
        <f>IF(SUM(X828:Y828)=1,1+MAX($B$1:B827),"")</f>
        <v/>
      </c>
      <c r="C828" s="112" t="str">
        <f>IF(SUM(Q828:R828,X828:Y828)=2,1+MAX($C$1:C827),"")</f>
        <v/>
      </c>
      <c r="D828" s="113">
        <v>14045</v>
      </c>
      <c r="E828" s="112">
        <v>1938</v>
      </c>
      <c r="F828" s="118" t="s">
        <v>3060</v>
      </c>
      <c r="H828" s="114" t="s">
        <v>1442</v>
      </c>
      <c r="I828" s="112">
        <f t="shared" si="196"/>
        <v>2</v>
      </c>
      <c r="J828" s="112">
        <f t="shared" si="197"/>
        <v>1</v>
      </c>
      <c r="K828" s="115" t="s">
        <v>2648</v>
      </c>
      <c r="L828" s="115" t="s">
        <v>2860</v>
      </c>
      <c r="M828" s="115" t="s">
        <v>3255</v>
      </c>
      <c r="N828" s="115">
        <v>18141</v>
      </c>
      <c r="O828" s="112">
        <v>2</v>
      </c>
      <c r="P828" s="116" t="s">
        <v>2626</v>
      </c>
      <c r="Q828" s="112" t="str">
        <f t="shared" si="192"/>
        <v/>
      </c>
      <c r="R828" s="112" t="str">
        <f t="shared" si="193"/>
        <v/>
      </c>
      <c r="S828" s="112" t="str">
        <f t="shared" si="198"/>
        <v/>
      </c>
      <c r="T828" s="112" t="str">
        <f t="shared" si="199"/>
        <v/>
      </c>
      <c r="U828" s="112" t="str">
        <f t="shared" si="200"/>
        <v/>
      </c>
      <c r="V828" s="112" t="str">
        <f t="shared" si="201"/>
        <v/>
      </c>
      <c r="W828" s="112" t="str">
        <f t="shared" si="202"/>
        <v/>
      </c>
      <c r="X828" s="112" t="str">
        <f t="shared" si="194"/>
        <v/>
      </c>
      <c r="Y828" s="112" t="str">
        <f t="shared" si="195"/>
        <v/>
      </c>
      <c r="Z828" s="112" t="str">
        <f t="shared" si="203"/>
        <v/>
      </c>
      <c r="AA828" s="112" t="str">
        <f t="shared" si="204"/>
        <v/>
      </c>
      <c r="AB828" s="112" t="str">
        <f t="shared" si="205"/>
        <v/>
      </c>
      <c r="AC828" s="112" t="str">
        <f t="shared" si="206"/>
        <v/>
      </c>
      <c r="AD828" s="112" t="str">
        <f t="shared" si="207"/>
        <v/>
      </c>
    </row>
    <row r="829" spans="1:30" x14ac:dyDescent="0.2">
      <c r="A829" s="112" t="str">
        <f>IF(SUM(Q829:R829)=1,1+MAX($A$1:A828),"")</f>
        <v/>
      </c>
      <c r="B829" s="112" t="str">
        <f>IF(SUM(X829:Y829)=1,1+MAX($B$1:B828),"")</f>
        <v/>
      </c>
      <c r="C829" s="112" t="str">
        <f>IF(SUM(Q829:R829,X829:Y829)=2,1+MAX($C$1:C828),"")</f>
        <v/>
      </c>
      <c r="D829" s="113">
        <v>14043</v>
      </c>
      <c r="E829" s="112">
        <v>1938</v>
      </c>
      <c r="F829" s="118" t="s">
        <v>3060</v>
      </c>
      <c r="H829" s="114" t="s">
        <v>2541</v>
      </c>
      <c r="I829" s="112">
        <f t="shared" si="196"/>
        <v>1</v>
      </c>
      <c r="J829" s="112">
        <f t="shared" si="197"/>
        <v>3</v>
      </c>
      <c r="K829" s="115" t="s">
        <v>2674</v>
      </c>
      <c r="L829" s="115" t="s">
        <v>3252</v>
      </c>
      <c r="N829" s="115">
        <v>58455</v>
      </c>
      <c r="O829" s="112">
        <v>1</v>
      </c>
      <c r="P829" s="116" t="s">
        <v>2691</v>
      </c>
      <c r="Q829" s="112" t="str">
        <f t="shared" si="192"/>
        <v/>
      </c>
      <c r="R829" s="112" t="str">
        <f t="shared" si="193"/>
        <v/>
      </c>
      <c r="S829" s="112" t="str">
        <f t="shared" si="198"/>
        <v/>
      </c>
      <c r="T829" s="112" t="str">
        <f t="shared" si="199"/>
        <v/>
      </c>
      <c r="U829" s="112" t="str">
        <f t="shared" si="200"/>
        <v/>
      </c>
      <c r="V829" s="112" t="str">
        <f t="shared" si="201"/>
        <v/>
      </c>
      <c r="W829" s="112" t="str">
        <f t="shared" si="202"/>
        <v/>
      </c>
      <c r="X829" s="112" t="str">
        <f t="shared" si="194"/>
        <v/>
      </c>
      <c r="Y829" s="112" t="str">
        <f t="shared" si="195"/>
        <v/>
      </c>
      <c r="Z829" s="112" t="str">
        <f t="shared" si="203"/>
        <v/>
      </c>
      <c r="AA829" s="112" t="str">
        <f t="shared" si="204"/>
        <v/>
      </c>
      <c r="AB829" s="112" t="str">
        <f t="shared" si="205"/>
        <v/>
      </c>
      <c r="AC829" s="112" t="str">
        <f t="shared" si="206"/>
        <v/>
      </c>
      <c r="AD829" s="112" t="str">
        <f t="shared" si="207"/>
        <v/>
      </c>
    </row>
    <row r="830" spans="1:30" x14ac:dyDescent="0.2">
      <c r="A830" s="112" t="str">
        <f>IF(SUM(Q830:R830)=1,1+MAX($A$1:A829),"")</f>
        <v/>
      </c>
      <c r="B830" s="112" t="str">
        <f>IF(SUM(X830:Y830)=1,1+MAX($B$1:B829),"")</f>
        <v/>
      </c>
      <c r="C830" s="112" t="str">
        <f>IF(SUM(Q830:R830,X830:Y830)=2,1+MAX($C$1:C829),"")</f>
        <v/>
      </c>
      <c r="D830" s="113">
        <v>14043</v>
      </c>
      <c r="E830" s="112">
        <v>1938</v>
      </c>
      <c r="F830" s="118" t="s">
        <v>3060</v>
      </c>
      <c r="H830" s="114" t="s">
        <v>2703</v>
      </c>
      <c r="I830" s="112">
        <f t="shared" si="196"/>
        <v>0</v>
      </c>
      <c r="J830" s="112">
        <f t="shared" si="197"/>
        <v>8</v>
      </c>
      <c r="K830" s="115" t="s">
        <v>2549</v>
      </c>
      <c r="L830" s="115" t="s">
        <v>3256</v>
      </c>
      <c r="N830" s="115">
        <v>7000</v>
      </c>
      <c r="O830" s="112">
        <v>2</v>
      </c>
      <c r="P830" s="116" t="s">
        <v>3237</v>
      </c>
      <c r="Q830" s="112" t="str">
        <f t="shared" si="192"/>
        <v/>
      </c>
      <c r="R830" s="112" t="str">
        <f t="shared" si="193"/>
        <v/>
      </c>
      <c r="S830" s="112" t="str">
        <f t="shared" si="198"/>
        <v/>
      </c>
      <c r="T830" s="112" t="str">
        <f t="shared" si="199"/>
        <v/>
      </c>
      <c r="U830" s="112" t="str">
        <f t="shared" si="200"/>
        <v/>
      </c>
      <c r="V830" s="112" t="str">
        <f t="shared" si="201"/>
        <v/>
      </c>
      <c r="W830" s="112" t="str">
        <f t="shared" si="202"/>
        <v/>
      </c>
      <c r="X830" s="112" t="str">
        <f t="shared" si="194"/>
        <v/>
      </c>
      <c r="Y830" s="112" t="str">
        <f t="shared" si="195"/>
        <v/>
      </c>
      <c r="Z830" s="112" t="str">
        <f t="shared" si="203"/>
        <v/>
      </c>
      <c r="AA830" s="112" t="str">
        <f t="shared" si="204"/>
        <v/>
      </c>
      <c r="AB830" s="112" t="str">
        <f t="shared" si="205"/>
        <v/>
      </c>
      <c r="AC830" s="112" t="str">
        <f t="shared" si="206"/>
        <v/>
      </c>
      <c r="AD830" s="112" t="str">
        <f t="shared" si="207"/>
        <v/>
      </c>
    </row>
    <row r="831" spans="1:30" x14ac:dyDescent="0.2">
      <c r="A831" s="112" t="str">
        <f>IF(SUM(Q831:R831)=1,1+MAX($A$1:A830),"")</f>
        <v/>
      </c>
      <c r="B831" s="112" t="str">
        <f>IF(SUM(X831:Y831)=1,1+MAX($B$1:B830),"")</f>
        <v/>
      </c>
      <c r="C831" s="112" t="str">
        <f>IF(SUM(Q831:R831,X831:Y831)=2,1+MAX($C$1:C830),"")</f>
        <v/>
      </c>
      <c r="D831" s="113">
        <v>14043</v>
      </c>
      <c r="E831" s="112">
        <v>1938</v>
      </c>
      <c r="F831" s="118" t="s">
        <v>3060</v>
      </c>
      <c r="H831" s="114" t="s">
        <v>2725</v>
      </c>
      <c r="I831" s="112">
        <f t="shared" si="196"/>
        <v>2</v>
      </c>
      <c r="J831" s="112">
        <f t="shared" si="197"/>
        <v>0</v>
      </c>
      <c r="K831" s="115" t="s">
        <v>2558</v>
      </c>
      <c r="L831" s="115" t="s">
        <v>3257</v>
      </c>
      <c r="N831" s="115">
        <v>15000</v>
      </c>
      <c r="O831" s="112">
        <v>1</v>
      </c>
      <c r="P831" s="116" t="s">
        <v>2641</v>
      </c>
      <c r="Q831" s="112" t="str">
        <f t="shared" si="192"/>
        <v/>
      </c>
      <c r="R831" s="112" t="str">
        <f t="shared" si="193"/>
        <v/>
      </c>
      <c r="S831" s="112" t="str">
        <f t="shared" si="198"/>
        <v/>
      </c>
      <c r="T831" s="112" t="str">
        <f t="shared" si="199"/>
        <v/>
      </c>
      <c r="U831" s="112" t="str">
        <f t="shared" si="200"/>
        <v/>
      </c>
      <c r="V831" s="112" t="str">
        <f t="shared" si="201"/>
        <v/>
      </c>
      <c r="W831" s="112" t="str">
        <f t="shared" si="202"/>
        <v/>
      </c>
      <c r="X831" s="112" t="str">
        <f t="shared" si="194"/>
        <v/>
      </c>
      <c r="Y831" s="112" t="str">
        <f t="shared" si="195"/>
        <v/>
      </c>
      <c r="Z831" s="112" t="str">
        <f t="shared" si="203"/>
        <v/>
      </c>
      <c r="AA831" s="112" t="str">
        <f t="shared" si="204"/>
        <v/>
      </c>
      <c r="AB831" s="112" t="str">
        <f t="shared" si="205"/>
        <v/>
      </c>
      <c r="AC831" s="112" t="str">
        <f t="shared" si="206"/>
        <v/>
      </c>
      <c r="AD831" s="112" t="str">
        <f t="shared" si="207"/>
        <v/>
      </c>
    </row>
    <row r="832" spans="1:30" x14ac:dyDescent="0.2">
      <c r="A832" s="112" t="str">
        <f>IF(SUM(Q832:R832)=1,1+MAX($A$1:A831),"")</f>
        <v/>
      </c>
      <c r="B832" s="112" t="str">
        <f>IF(SUM(X832:Y832)=1,1+MAX($B$1:B831),"")</f>
        <v/>
      </c>
      <c r="C832" s="112" t="str">
        <f>IF(SUM(Q832:R832,X832:Y832)=2,1+MAX($C$1:C831),"")</f>
        <v/>
      </c>
      <c r="D832" s="113">
        <v>14043</v>
      </c>
      <c r="E832" s="112">
        <v>1938</v>
      </c>
      <c r="F832" s="118" t="s">
        <v>3060</v>
      </c>
      <c r="H832" s="114" t="s">
        <v>1442</v>
      </c>
      <c r="I832" s="112">
        <f t="shared" si="196"/>
        <v>1</v>
      </c>
      <c r="J832" s="112">
        <f t="shared" si="197"/>
        <v>1</v>
      </c>
      <c r="K832" s="115" t="s">
        <v>2648</v>
      </c>
      <c r="L832" s="115" t="s">
        <v>2860</v>
      </c>
      <c r="M832" s="115" t="s">
        <v>3258</v>
      </c>
      <c r="N832" s="115">
        <v>22021</v>
      </c>
      <c r="O832" s="112">
        <v>2</v>
      </c>
      <c r="P832" s="116" t="s">
        <v>2645</v>
      </c>
      <c r="Q832" s="112" t="str">
        <f t="shared" si="192"/>
        <v/>
      </c>
      <c r="R832" s="112" t="str">
        <f t="shared" si="193"/>
        <v/>
      </c>
      <c r="S832" s="112" t="str">
        <f t="shared" si="198"/>
        <v/>
      </c>
      <c r="T832" s="112" t="str">
        <f t="shared" si="199"/>
        <v/>
      </c>
      <c r="U832" s="112" t="str">
        <f t="shared" si="200"/>
        <v/>
      </c>
      <c r="V832" s="112" t="str">
        <f t="shared" si="201"/>
        <v/>
      </c>
      <c r="W832" s="112" t="str">
        <f t="shared" si="202"/>
        <v/>
      </c>
      <c r="X832" s="112" t="str">
        <f t="shared" si="194"/>
        <v/>
      </c>
      <c r="Y832" s="112" t="str">
        <f t="shared" si="195"/>
        <v/>
      </c>
      <c r="Z832" s="112" t="str">
        <f t="shared" si="203"/>
        <v/>
      </c>
      <c r="AA832" s="112" t="str">
        <f t="shared" si="204"/>
        <v/>
      </c>
      <c r="AB832" s="112" t="str">
        <f t="shared" si="205"/>
        <v/>
      </c>
      <c r="AC832" s="112" t="str">
        <f t="shared" si="206"/>
        <v/>
      </c>
      <c r="AD832" s="112" t="str">
        <f t="shared" si="207"/>
        <v/>
      </c>
    </row>
    <row r="833" spans="1:30" x14ac:dyDescent="0.2">
      <c r="A833" s="112" t="str">
        <f>IF(SUM(Q833:R833)=1,1+MAX($A$1:A832),"")</f>
        <v/>
      </c>
      <c r="B833" s="112" t="str">
        <f>IF(SUM(X833:Y833)=1,1+MAX($B$1:B832),"")</f>
        <v/>
      </c>
      <c r="C833" s="112" t="str">
        <f>IF(SUM(Q833:R833,X833:Y833)=2,1+MAX($C$1:C832),"")</f>
        <v/>
      </c>
      <c r="D833" s="113">
        <v>14040</v>
      </c>
      <c r="E833" s="112">
        <v>1938</v>
      </c>
      <c r="F833" s="118" t="s">
        <v>3060</v>
      </c>
      <c r="H833" s="114" t="s">
        <v>2547</v>
      </c>
      <c r="I833" s="112">
        <f t="shared" si="196"/>
        <v>2</v>
      </c>
      <c r="J833" s="112">
        <f t="shared" si="197"/>
        <v>4</v>
      </c>
      <c r="K833" s="115" t="s">
        <v>2558</v>
      </c>
      <c r="L833" s="115" t="s">
        <v>2851</v>
      </c>
      <c r="N833" s="115">
        <v>20025</v>
      </c>
      <c r="O833" s="112">
        <v>1</v>
      </c>
      <c r="P833" s="116" t="s">
        <v>2796</v>
      </c>
      <c r="Q833" s="112" t="str">
        <f t="shared" ref="Q833:Q876" si="208">IF(H833=team1,1,"")</f>
        <v/>
      </c>
      <c r="R833" s="112" t="str">
        <f t="shared" ref="R833:R876" si="209">IF(K833=team1,1,"")</f>
        <v/>
      </c>
      <c r="S833" s="112" t="str">
        <f t="shared" si="198"/>
        <v/>
      </c>
      <c r="T833" s="112" t="str">
        <f t="shared" si="199"/>
        <v/>
      </c>
      <c r="U833" s="112" t="str">
        <f t="shared" si="200"/>
        <v/>
      </c>
      <c r="V833" s="112" t="str">
        <f t="shared" si="201"/>
        <v/>
      </c>
      <c r="W833" s="112" t="str">
        <f t="shared" si="202"/>
        <v/>
      </c>
      <c r="X833" s="112" t="str">
        <f t="shared" ref="X833:X876" si="210">IF(H833=team2,1,"")</f>
        <v/>
      </c>
      <c r="Y833" s="112" t="str">
        <f t="shared" ref="Y833:Y876" si="211">IF(K833=team2,1,"")</f>
        <v/>
      </c>
      <c r="Z833" s="112" t="str">
        <f t="shared" si="203"/>
        <v/>
      </c>
      <c r="AA833" s="112" t="str">
        <f t="shared" si="204"/>
        <v/>
      </c>
      <c r="AB833" s="112" t="str">
        <f t="shared" si="205"/>
        <v/>
      </c>
      <c r="AC833" s="112" t="str">
        <f t="shared" si="206"/>
        <v/>
      </c>
      <c r="AD833" s="112" t="str">
        <f t="shared" si="207"/>
        <v/>
      </c>
    </row>
    <row r="834" spans="1:30" x14ac:dyDescent="0.2">
      <c r="A834" s="112" t="str">
        <f>IF(SUM(Q834:R834)=1,1+MAX($A$1:A833),"")</f>
        <v/>
      </c>
      <c r="B834" s="112" t="str">
        <f>IF(SUM(X834:Y834)=1,1+MAX($B$1:B833),"")</f>
        <v/>
      </c>
      <c r="C834" s="112" t="str">
        <f>IF(SUM(Q834:R834,X834:Y834)=2,1+MAX($C$1:C833),"")</f>
        <v/>
      </c>
      <c r="D834" s="113">
        <v>14040</v>
      </c>
      <c r="E834" s="112">
        <v>1938</v>
      </c>
      <c r="F834" s="118" t="s">
        <v>3060</v>
      </c>
      <c r="H834" s="114" t="s">
        <v>2703</v>
      </c>
      <c r="I834" s="112">
        <f t="shared" ref="I834:I876" si="212">INT(LEFT(P834,FIND("-",P834)-1))</f>
        <v>2</v>
      </c>
      <c r="J834" s="112">
        <f t="shared" ref="J834:J876" si="213">INT(RIGHT(P834,LEN(P834)-FIND("-",P834)-1))</f>
        <v>1</v>
      </c>
      <c r="K834" s="115" t="s">
        <v>2711</v>
      </c>
      <c r="L834" s="115" t="s">
        <v>2863</v>
      </c>
      <c r="N834" s="115">
        <v>8000</v>
      </c>
      <c r="O834" s="112">
        <v>2</v>
      </c>
      <c r="P834" s="116" t="s">
        <v>2626</v>
      </c>
      <c r="Q834" s="112" t="str">
        <f t="shared" si="208"/>
        <v/>
      </c>
      <c r="R834" s="112" t="str">
        <f t="shared" si="209"/>
        <v/>
      </c>
      <c r="S834" s="112" t="str">
        <f t="shared" si="198"/>
        <v/>
      </c>
      <c r="T834" s="112" t="str">
        <f t="shared" si="199"/>
        <v/>
      </c>
      <c r="U834" s="112" t="str">
        <f t="shared" si="200"/>
        <v/>
      </c>
      <c r="V834" s="112" t="str">
        <f t="shared" si="201"/>
        <v/>
      </c>
      <c r="W834" s="112" t="str">
        <f t="shared" si="202"/>
        <v/>
      </c>
      <c r="X834" s="112" t="str">
        <f t="shared" si="210"/>
        <v/>
      </c>
      <c r="Y834" s="112" t="str">
        <f t="shared" si="211"/>
        <v/>
      </c>
      <c r="Z834" s="112" t="str">
        <f t="shared" si="203"/>
        <v/>
      </c>
      <c r="AA834" s="112" t="str">
        <f t="shared" si="204"/>
        <v/>
      </c>
      <c r="AB834" s="112" t="str">
        <f t="shared" si="205"/>
        <v/>
      </c>
      <c r="AC834" s="112" t="str">
        <f t="shared" si="206"/>
        <v/>
      </c>
      <c r="AD834" s="112" t="str">
        <f t="shared" si="207"/>
        <v/>
      </c>
    </row>
    <row r="835" spans="1:30" x14ac:dyDescent="0.2">
      <c r="A835" s="112" t="str">
        <f>IF(SUM(Q835:R835)=1,1+MAX($A$1:A834),"")</f>
        <v/>
      </c>
      <c r="B835" s="112" t="str">
        <f>IF(SUM(X835:Y835)=1,1+MAX($B$1:B834),"")</f>
        <v/>
      </c>
      <c r="C835" s="112" t="str">
        <f>IF(SUM(Q835:R835,X835:Y835)=2,1+MAX($C$1:C834),"")</f>
        <v/>
      </c>
      <c r="D835" s="113">
        <v>14036</v>
      </c>
      <c r="E835" s="112">
        <v>1938</v>
      </c>
      <c r="F835" s="118" t="s">
        <v>3060</v>
      </c>
      <c r="H835" s="114" t="s">
        <v>2648</v>
      </c>
      <c r="I835" s="112">
        <f t="shared" si="212"/>
        <v>3</v>
      </c>
      <c r="J835" s="112">
        <f t="shared" si="213"/>
        <v>0</v>
      </c>
      <c r="K835" s="115" t="s">
        <v>2604</v>
      </c>
      <c r="L835" s="115" t="s">
        <v>3259</v>
      </c>
      <c r="N835" s="115">
        <v>11000</v>
      </c>
      <c r="O835" s="112">
        <v>1</v>
      </c>
      <c r="P835" s="116" t="s">
        <v>2713</v>
      </c>
      <c r="Q835" s="112" t="str">
        <f t="shared" si="208"/>
        <v/>
      </c>
      <c r="R835" s="112" t="str">
        <f t="shared" si="209"/>
        <v/>
      </c>
      <c r="S835" s="112" t="str">
        <f t="shared" ref="S835:S876" si="214">IF(Q835=1,IF($I835&gt;$J835,1,0),IF(R835=1,IF($I835&lt;$J835,1,0),""))</f>
        <v/>
      </c>
      <c r="T835" s="112" t="str">
        <f t="shared" ref="T835:T876" si="215">IF(Q835=1,IF($I835=$J835,1,0),IF(R835=1,IF($I835=$J835,1,0),""))</f>
        <v/>
      </c>
      <c r="U835" s="112" t="str">
        <f t="shared" ref="U835:U876" si="216">IF(Q835=1,IF($I835&lt;$J835,1,0),IF(R835=1,IF($I835&gt;$J835,1,0),""))</f>
        <v/>
      </c>
      <c r="V835" s="112" t="str">
        <f t="shared" ref="V835:V876" si="217">IF(SUM(Q835:R835)=1,$I835+$J835,"")</f>
        <v/>
      </c>
      <c r="W835" s="112" t="str">
        <f t="shared" ref="W835:W876" si="218">IF(Q835=1,$I835-$J835,IF(R835=1,-($I835-$J835),""))</f>
        <v/>
      </c>
      <c r="X835" s="112" t="str">
        <f t="shared" si="210"/>
        <v/>
      </c>
      <c r="Y835" s="112" t="str">
        <f t="shared" si="211"/>
        <v/>
      </c>
      <c r="Z835" s="112" t="str">
        <f t="shared" ref="Z835:Z876" si="219">IF(X835=1,IF($I835&gt;$J835,1,0),IF(Y835=1,IF($I835&lt;$J835,1,0),""))</f>
        <v/>
      </c>
      <c r="AA835" s="112" t="str">
        <f t="shared" ref="AA835:AA876" si="220">IF(X835=1,IF($I835=$J835,1,0),IF(Y835=1,IF($I835=$J835,1,0),""))</f>
        <v/>
      </c>
      <c r="AB835" s="112" t="str">
        <f t="shared" ref="AB835:AB876" si="221">IF(X835=1,IF($I835&lt;$J835,1,0),IF(Y835=1,IF($I835&gt;$J835,1,0),""))</f>
        <v/>
      </c>
      <c r="AC835" s="112" t="str">
        <f t="shared" ref="AC835:AC876" si="222">IF(SUM(X835:Y835)=1,$I835+$J835,"")</f>
        <v/>
      </c>
      <c r="AD835" s="112" t="str">
        <f t="shared" ref="AD835:AD876" si="223">IF(X835=1,$I835-$J835,IF(Y835=1,-($I835-$J835),""))</f>
        <v/>
      </c>
    </row>
    <row r="836" spans="1:30" x14ac:dyDescent="0.2">
      <c r="A836" s="112" t="str">
        <f>IF(SUM(Q836:R836)=1,1+MAX($A$1:A835),"")</f>
        <v/>
      </c>
      <c r="B836" s="112" t="str">
        <f>IF(SUM(X836:Y836)=1,1+MAX($B$1:B835),"")</f>
        <v/>
      </c>
      <c r="C836" s="112" t="str">
        <f>IF(SUM(Q836:R836,X836:Y836)=2,1+MAX($C$1:C835),"")</f>
        <v/>
      </c>
      <c r="D836" s="113">
        <v>14036</v>
      </c>
      <c r="E836" s="112">
        <v>1938</v>
      </c>
      <c r="F836" s="118" t="s">
        <v>3060</v>
      </c>
      <c r="H836" s="114" t="s">
        <v>1442</v>
      </c>
      <c r="I836" s="112">
        <f t="shared" si="212"/>
        <v>6</v>
      </c>
      <c r="J836" s="112">
        <f t="shared" si="213"/>
        <v>5</v>
      </c>
      <c r="K836" s="115" t="s">
        <v>2544</v>
      </c>
      <c r="L836" s="115" t="s">
        <v>3260</v>
      </c>
      <c r="M836" s="115" t="s">
        <v>3261</v>
      </c>
      <c r="N836" s="115">
        <v>13452</v>
      </c>
      <c r="O836" s="112">
        <v>2</v>
      </c>
      <c r="P836" s="116" t="s">
        <v>3262</v>
      </c>
      <c r="Q836" s="112" t="str">
        <f t="shared" si="208"/>
        <v/>
      </c>
      <c r="R836" s="112" t="str">
        <f t="shared" si="209"/>
        <v/>
      </c>
      <c r="S836" s="112" t="str">
        <f t="shared" si="214"/>
        <v/>
      </c>
      <c r="T836" s="112" t="str">
        <f t="shared" si="215"/>
        <v/>
      </c>
      <c r="U836" s="112" t="str">
        <f t="shared" si="216"/>
        <v/>
      </c>
      <c r="V836" s="112" t="str">
        <f t="shared" si="217"/>
        <v/>
      </c>
      <c r="W836" s="112" t="str">
        <f t="shared" si="218"/>
        <v/>
      </c>
      <c r="X836" s="112" t="str">
        <f t="shared" si="210"/>
        <v/>
      </c>
      <c r="Y836" s="112" t="str">
        <f t="shared" si="211"/>
        <v/>
      </c>
      <c r="Z836" s="112" t="str">
        <f t="shared" si="219"/>
        <v/>
      </c>
      <c r="AA836" s="112" t="str">
        <f t="shared" si="220"/>
        <v/>
      </c>
      <c r="AB836" s="112" t="str">
        <f t="shared" si="221"/>
        <v/>
      </c>
      <c r="AC836" s="112" t="str">
        <f t="shared" si="222"/>
        <v/>
      </c>
      <c r="AD836" s="112" t="str">
        <f t="shared" si="223"/>
        <v/>
      </c>
    </row>
    <row r="837" spans="1:30" x14ac:dyDescent="0.2">
      <c r="A837" s="112" t="str">
        <f>IF(SUM(Q837:R837)=1,1+MAX($A$1:A836),"")</f>
        <v/>
      </c>
      <c r="B837" s="112" t="str">
        <f>IF(SUM(X837:Y837)=1,1+MAX($B$1:B836),"")</f>
        <v/>
      </c>
      <c r="C837" s="112" t="str">
        <f>IF(SUM(Q837:R837,X837:Y837)=2,1+MAX($C$1:C836),"")</f>
        <v/>
      </c>
      <c r="D837" s="113">
        <v>14036</v>
      </c>
      <c r="E837" s="112">
        <v>1938</v>
      </c>
      <c r="F837" s="118" t="s">
        <v>3060</v>
      </c>
      <c r="H837" s="114" t="s">
        <v>2674</v>
      </c>
      <c r="I837" s="112">
        <f t="shared" si="212"/>
        <v>2</v>
      </c>
      <c r="J837" s="112">
        <f t="shared" si="213"/>
        <v>1</v>
      </c>
      <c r="K837" s="115" t="s">
        <v>2707</v>
      </c>
      <c r="L837" s="115" t="s">
        <v>2854</v>
      </c>
      <c r="N837" s="115">
        <v>19000</v>
      </c>
      <c r="O837" s="112">
        <v>1</v>
      </c>
      <c r="P837" s="116" t="s">
        <v>2626</v>
      </c>
      <c r="Q837" s="112" t="str">
        <f t="shared" si="208"/>
        <v/>
      </c>
      <c r="R837" s="112" t="str">
        <f t="shared" si="209"/>
        <v/>
      </c>
      <c r="S837" s="112" t="str">
        <f t="shared" si="214"/>
        <v/>
      </c>
      <c r="T837" s="112" t="str">
        <f t="shared" si="215"/>
        <v/>
      </c>
      <c r="U837" s="112" t="str">
        <f t="shared" si="216"/>
        <v/>
      </c>
      <c r="V837" s="112" t="str">
        <f t="shared" si="217"/>
        <v/>
      </c>
      <c r="W837" s="112" t="str">
        <f t="shared" si="218"/>
        <v/>
      </c>
      <c r="X837" s="112" t="str">
        <f t="shared" si="210"/>
        <v/>
      </c>
      <c r="Y837" s="112" t="str">
        <f t="shared" si="211"/>
        <v/>
      </c>
      <c r="Z837" s="112" t="str">
        <f t="shared" si="219"/>
        <v/>
      </c>
      <c r="AA837" s="112" t="str">
        <f t="shared" si="220"/>
        <v/>
      </c>
      <c r="AB837" s="112" t="str">
        <f t="shared" si="221"/>
        <v/>
      </c>
      <c r="AC837" s="112" t="str">
        <f t="shared" si="222"/>
        <v/>
      </c>
      <c r="AD837" s="112" t="str">
        <f t="shared" si="223"/>
        <v/>
      </c>
    </row>
    <row r="838" spans="1:30" x14ac:dyDescent="0.2">
      <c r="A838" s="112" t="str">
        <f>IF(SUM(Q838:R838)=1,1+MAX($A$1:A837),"")</f>
        <v/>
      </c>
      <c r="B838" s="112" t="str">
        <f>IF(SUM(X838:Y838)=1,1+MAX($B$1:B837),"")</f>
        <v/>
      </c>
      <c r="C838" s="112" t="str">
        <f>IF(SUM(Q838:R838,X838:Y838)=2,1+MAX($C$1:C837),"")</f>
        <v/>
      </c>
      <c r="D838" s="113">
        <v>14036</v>
      </c>
      <c r="E838" s="112">
        <v>1938</v>
      </c>
      <c r="F838" s="118" t="s">
        <v>3060</v>
      </c>
      <c r="H838" s="114" t="s">
        <v>2703</v>
      </c>
      <c r="I838" s="112">
        <f t="shared" si="212"/>
        <v>3</v>
      </c>
      <c r="J838" s="112">
        <f t="shared" si="213"/>
        <v>3</v>
      </c>
      <c r="K838" s="115" t="s">
        <v>2711</v>
      </c>
      <c r="L838" s="115" t="s">
        <v>2863</v>
      </c>
      <c r="N838" s="115">
        <v>7000</v>
      </c>
      <c r="O838" s="112">
        <v>2</v>
      </c>
      <c r="P838" s="116" t="s">
        <v>2837</v>
      </c>
      <c r="Q838" s="112" t="str">
        <f t="shared" si="208"/>
        <v/>
      </c>
      <c r="R838" s="112" t="str">
        <f t="shared" si="209"/>
        <v/>
      </c>
      <c r="S838" s="112" t="str">
        <f t="shared" si="214"/>
        <v/>
      </c>
      <c r="T838" s="112" t="str">
        <f t="shared" si="215"/>
        <v/>
      </c>
      <c r="U838" s="112" t="str">
        <f t="shared" si="216"/>
        <v/>
      </c>
      <c r="V838" s="112" t="str">
        <f t="shared" si="217"/>
        <v/>
      </c>
      <c r="W838" s="112" t="str">
        <f t="shared" si="218"/>
        <v/>
      </c>
      <c r="X838" s="112" t="str">
        <f t="shared" si="210"/>
        <v/>
      </c>
      <c r="Y838" s="112" t="str">
        <f t="shared" si="211"/>
        <v/>
      </c>
      <c r="Z838" s="112" t="str">
        <f t="shared" si="219"/>
        <v/>
      </c>
      <c r="AA838" s="112" t="str">
        <f t="shared" si="220"/>
        <v/>
      </c>
      <c r="AB838" s="112" t="str">
        <f t="shared" si="221"/>
        <v/>
      </c>
      <c r="AC838" s="112" t="str">
        <f t="shared" si="222"/>
        <v/>
      </c>
      <c r="AD838" s="112" t="str">
        <f t="shared" si="223"/>
        <v/>
      </c>
    </row>
    <row r="839" spans="1:30" x14ac:dyDescent="0.2">
      <c r="A839" s="112" t="str">
        <f>IF(SUM(Q839:R839)=1,1+MAX($A$1:A838),"")</f>
        <v/>
      </c>
      <c r="B839" s="112" t="str">
        <f>IF(SUM(X839:Y839)=1,1+MAX($B$1:B838),"")</f>
        <v/>
      </c>
      <c r="C839" s="112" t="str">
        <f>IF(SUM(Q839:R839,X839:Y839)=2,1+MAX($C$1:C838),"")</f>
        <v/>
      </c>
      <c r="D839" s="113">
        <v>14036</v>
      </c>
      <c r="E839" s="112">
        <v>1938</v>
      </c>
      <c r="F839" s="118" t="s">
        <v>3060</v>
      </c>
      <c r="H839" s="114" t="s">
        <v>2554</v>
      </c>
      <c r="I839" s="112">
        <f t="shared" si="212"/>
        <v>1</v>
      </c>
      <c r="J839" s="112">
        <f t="shared" si="213"/>
        <v>3</v>
      </c>
      <c r="K839" s="115" t="s">
        <v>2541</v>
      </c>
      <c r="L839" s="115" t="s">
        <v>3252</v>
      </c>
      <c r="N839" s="115">
        <v>30454</v>
      </c>
      <c r="O839" s="112">
        <v>1</v>
      </c>
      <c r="P839" s="116" t="s">
        <v>2691</v>
      </c>
      <c r="Q839" s="112" t="str">
        <f t="shared" si="208"/>
        <v/>
      </c>
      <c r="R839" s="112" t="str">
        <f t="shared" si="209"/>
        <v/>
      </c>
      <c r="S839" s="112" t="str">
        <f t="shared" si="214"/>
        <v/>
      </c>
      <c r="T839" s="112" t="str">
        <f t="shared" si="215"/>
        <v/>
      </c>
      <c r="U839" s="112" t="str">
        <f t="shared" si="216"/>
        <v/>
      </c>
      <c r="V839" s="112" t="str">
        <f t="shared" si="217"/>
        <v/>
      </c>
      <c r="W839" s="112" t="str">
        <f t="shared" si="218"/>
        <v/>
      </c>
      <c r="X839" s="112" t="str">
        <f t="shared" si="210"/>
        <v/>
      </c>
      <c r="Y839" s="112" t="str">
        <f t="shared" si="211"/>
        <v/>
      </c>
      <c r="Z839" s="112" t="str">
        <f t="shared" si="219"/>
        <v/>
      </c>
      <c r="AA839" s="112" t="str">
        <f t="shared" si="220"/>
        <v/>
      </c>
      <c r="AB839" s="112" t="str">
        <f t="shared" si="221"/>
        <v/>
      </c>
      <c r="AC839" s="112" t="str">
        <f t="shared" si="222"/>
        <v/>
      </c>
      <c r="AD839" s="112" t="str">
        <f t="shared" si="223"/>
        <v/>
      </c>
    </row>
    <row r="840" spans="1:30" x14ac:dyDescent="0.2">
      <c r="A840" s="112" t="str">
        <f>IF(SUM(Q840:R840)=1,1+MAX($A$1:A839),"")</f>
        <v/>
      </c>
      <c r="B840" s="112" t="str">
        <f>IF(SUM(X840:Y840)=1,1+MAX($B$1:B839),"")</f>
        <v/>
      </c>
      <c r="C840" s="112" t="str">
        <f>IF(SUM(Q840:R840,X840:Y840)=2,1+MAX($C$1:C839),"")</f>
        <v/>
      </c>
      <c r="D840" s="113">
        <v>14036</v>
      </c>
      <c r="E840" s="112">
        <v>1938</v>
      </c>
      <c r="F840" s="118" t="s">
        <v>3060</v>
      </c>
      <c r="H840" s="114" t="s">
        <v>2665</v>
      </c>
      <c r="I840" s="112">
        <f t="shared" si="212"/>
        <v>0</v>
      </c>
      <c r="J840" s="112">
        <f t="shared" si="213"/>
        <v>6</v>
      </c>
      <c r="K840" s="115" t="s">
        <v>2725</v>
      </c>
      <c r="L840" s="115" t="s">
        <v>3263</v>
      </c>
      <c r="N840" s="115">
        <v>9000</v>
      </c>
      <c r="O840" s="112">
        <v>1</v>
      </c>
      <c r="P840" s="116" t="s">
        <v>2996</v>
      </c>
      <c r="Q840" s="112" t="str">
        <f t="shared" si="208"/>
        <v/>
      </c>
      <c r="R840" s="112" t="str">
        <f t="shared" si="209"/>
        <v/>
      </c>
      <c r="S840" s="112" t="str">
        <f t="shared" si="214"/>
        <v/>
      </c>
      <c r="T840" s="112" t="str">
        <f t="shared" si="215"/>
        <v/>
      </c>
      <c r="U840" s="112" t="str">
        <f t="shared" si="216"/>
        <v/>
      </c>
      <c r="V840" s="112" t="str">
        <f t="shared" si="217"/>
        <v/>
      </c>
      <c r="W840" s="112" t="str">
        <f t="shared" si="218"/>
        <v/>
      </c>
      <c r="X840" s="112" t="str">
        <f t="shared" si="210"/>
        <v/>
      </c>
      <c r="Y840" s="112" t="str">
        <f t="shared" si="211"/>
        <v/>
      </c>
      <c r="Z840" s="112" t="str">
        <f t="shared" si="219"/>
        <v/>
      </c>
      <c r="AA840" s="112" t="str">
        <f t="shared" si="220"/>
        <v/>
      </c>
      <c r="AB840" s="112" t="str">
        <f t="shared" si="221"/>
        <v/>
      </c>
      <c r="AC840" s="112" t="str">
        <f t="shared" si="222"/>
        <v/>
      </c>
      <c r="AD840" s="112" t="str">
        <f t="shared" si="223"/>
        <v/>
      </c>
    </row>
    <row r="841" spans="1:30" x14ac:dyDescent="0.2">
      <c r="A841" s="112" t="str">
        <f>IF(SUM(Q841:R841)=1,1+MAX($A$1:A840),"")</f>
        <v/>
      </c>
      <c r="B841" s="112" t="str">
        <f>IF(SUM(X841:Y841)=1,1+MAX($B$1:B840),"")</f>
        <v/>
      </c>
      <c r="C841" s="112" t="str">
        <f>IF(SUM(Q841:R841,X841:Y841)=2,1+MAX($C$1:C840),"")</f>
        <v/>
      </c>
      <c r="D841" s="113">
        <v>14035</v>
      </c>
      <c r="E841" s="112">
        <v>1938</v>
      </c>
      <c r="F841" s="118" t="s">
        <v>3060</v>
      </c>
      <c r="H841" s="114" t="s">
        <v>2547</v>
      </c>
      <c r="I841" s="112">
        <f t="shared" si="212"/>
        <v>1</v>
      </c>
      <c r="J841" s="112">
        <f t="shared" si="213"/>
        <v>1</v>
      </c>
      <c r="K841" s="115" t="s">
        <v>2558</v>
      </c>
      <c r="L841" s="115" t="s">
        <v>2851</v>
      </c>
      <c r="N841" s="115">
        <v>27152</v>
      </c>
      <c r="O841" s="112">
        <v>1</v>
      </c>
      <c r="P841" s="116" t="s">
        <v>2645</v>
      </c>
      <c r="Q841" s="112" t="str">
        <f t="shared" si="208"/>
        <v/>
      </c>
      <c r="R841" s="112" t="str">
        <f t="shared" si="209"/>
        <v/>
      </c>
      <c r="S841" s="112" t="str">
        <f t="shared" si="214"/>
        <v/>
      </c>
      <c r="T841" s="112" t="str">
        <f t="shared" si="215"/>
        <v/>
      </c>
      <c r="U841" s="112" t="str">
        <f t="shared" si="216"/>
        <v/>
      </c>
      <c r="V841" s="112" t="str">
        <f t="shared" si="217"/>
        <v/>
      </c>
      <c r="W841" s="112" t="str">
        <f t="shared" si="218"/>
        <v/>
      </c>
      <c r="X841" s="112" t="str">
        <f t="shared" si="210"/>
        <v/>
      </c>
      <c r="Y841" s="112" t="str">
        <f t="shared" si="211"/>
        <v/>
      </c>
      <c r="Z841" s="112" t="str">
        <f t="shared" si="219"/>
        <v/>
      </c>
      <c r="AA841" s="112" t="str">
        <f t="shared" si="220"/>
        <v/>
      </c>
      <c r="AB841" s="112" t="str">
        <f t="shared" si="221"/>
        <v/>
      </c>
      <c r="AC841" s="112" t="str">
        <f t="shared" si="222"/>
        <v/>
      </c>
      <c r="AD841" s="112" t="str">
        <f t="shared" si="223"/>
        <v/>
      </c>
    </row>
    <row r="842" spans="1:30" x14ac:dyDescent="0.2">
      <c r="A842" s="112" t="str">
        <f>IF(SUM(Q842:R842)=1,1+MAX($A$1:A841),"")</f>
        <v/>
      </c>
      <c r="B842" s="112" t="str">
        <f>IF(SUM(X842:Y842)=1,1+MAX($B$1:B841),"")</f>
        <v/>
      </c>
      <c r="C842" s="112" t="str">
        <f>IF(SUM(Q842:R842,X842:Y842)=2,1+MAX($C$1:C841),"")</f>
        <v/>
      </c>
      <c r="D842" s="113">
        <v>12580</v>
      </c>
      <c r="E842" s="112">
        <v>1934</v>
      </c>
      <c r="F842" s="112" t="s">
        <v>2597</v>
      </c>
      <c r="H842" s="114" t="s">
        <v>2648</v>
      </c>
      <c r="I842" s="112">
        <f t="shared" si="212"/>
        <v>1</v>
      </c>
      <c r="J842" s="112">
        <f t="shared" si="213"/>
        <v>2</v>
      </c>
      <c r="K842" s="115" t="s">
        <v>2674</v>
      </c>
      <c r="L842" s="115" t="s">
        <v>3264</v>
      </c>
      <c r="M842" s="115" t="s">
        <v>3242</v>
      </c>
      <c r="N842" s="115">
        <v>45000</v>
      </c>
      <c r="O842" s="112">
        <v>2</v>
      </c>
      <c r="P842" s="116" t="s">
        <v>2638</v>
      </c>
      <c r="Q842" s="112" t="str">
        <f t="shared" si="208"/>
        <v/>
      </c>
      <c r="R842" s="112" t="str">
        <f t="shared" si="209"/>
        <v/>
      </c>
      <c r="S842" s="112" t="str">
        <f t="shared" si="214"/>
        <v/>
      </c>
      <c r="T842" s="112" t="str">
        <f t="shared" si="215"/>
        <v/>
      </c>
      <c r="U842" s="112" t="str">
        <f t="shared" si="216"/>
        <v/>
      </c>
      <c r="V842" s="112" t="str">
        <f t="shared" si="217"/>
        <v/>
      </c>
      <c r="W842" s="112" t="str">
        <f t="shared" si="218"/>
        <v/>
      </c>
      <c r="X842" s="112" t="str">
        <f t="shared" si="210"/>
        <v/>
      </c>
      <c r="Y842" s="112" t="str">
        <f t="shared" si="211"/>
        <v/>
      </c>
      <c r="Z842" s="112" t="str">
        <f t="shared" si="219"/>
        <v/>
      </c>
      <c r="AA842" s="112" t="str">
        <f t="shared" si="220"/>
        <v/>
      </c>
      <c r="AB842" s="112" t="str">
        <f t="shared" si="221"/>
        <v/>
      </c>
      <c r="AC842" s="112" t="str">
        <f t="shared" si="222"/>
        <v/>
      </c>
      <c r="AD842" s="112" t="str">
        <f t="shared" si="223"/>
        <v/>
      </c>
    </row>
    <row r="843" spans="1:30" x14ac:dyDescent="0.2">
      <c r="A843" s="112" t="str">
        <f>IF(SUM(Q843:R843)=1,1+MAX($A$1:A842),"")</f>
        <v/>
      </c>
      <c r="B843" s="112" t="str">
        <f>IF(SUM(X843:Y843)=1,1+MAX($B$1:B842),"")</f>
        <v/>
      </c>
      <c r="C843" s="112" t="str">
        <f>IF(SUM(Q843:R843,X843:Y843)=2,1+MAX($C$1:C842),"")</f>
        <v/>
      </c>
      <c r="D843" s="113">
        <v>12577</v>
      </c>
      <c r="E843" s="112">
        <v>1934</v>
      </c>
      <c r="F843" s="112" t="s">
        <v>2602</v>
      </c>
      <c r="H843" s="114" t="s">
        <v>2623</v>
      </c>
      <c r="I843" s="112">
        <f t="shared" si="212"/>
        <v>2</v>
      </c>
      <c r="J843" s="112">
        <f t="shared" si="213"/>
        <v>3</v>
      </c>
      <c r="K843" s="115" t="s">
        <v>2547</v>
      </c>
      <c r="L843" s="115" t="s">
        <v>3265</v>
      </c>
      <c r="M843" s="115" t="s">
        <v>3266</v>
      </c>
      <c r="N843" s="115">
        <v>8000</v>
      </c>
      <c r="O843" s="112">
        <v>2</v>
      </c>
      <c r="P843" s="116" t="s">
        <v>2706</v>
      </c>
      <c r="Q843" s="112" t="str">
        <f t="shared" si="208"/>
        <v/>
      </c>
      <c r="R843" s="112" t="str">
        <f t="shared" si="209"/>
        <v/>
      </c>
      <c r="S843" s="112" t="str">
        <f t="shared" si="214"/>
        <v/>
      </c>
      <c r="T843" s="112" t="str">
        <f t="shared" si="215"/>
        <v/>
      </c>
      <c r="U843" s="112" t="str">
        <f t="shared" si="216"/>
        <v/>
      </c>
      <c r="V843" s="112" t="str">
        <f t="shared" si="217"/>
        <v/>
      </c>
      <c r="W843" s="112" t="str">
        <f t="shared" si="218"/>
        <v/>
      </c>
      <c r="X843" s="112" t="str">
        <f t="shared" si="210"/>
        <v/>
      </c>
      <c r="Y843" s="112" t="str">
        <f t="shared" si="211"/>
        <v/>
      </c>
      <c r="Z843" s="112" t="str">
        <f t="shared" si="219"/>
        <v/>
      </c>
      <c r="AA843" s="112" t="str">
        <f t="shared" si="220"/>
        <v/>
      </c>
      <c r="AB843" s="112" t="str">
        <f t="shared" si="221"/>
        <v/>
      </c>
      <c r="AC843" s="112" t="str">
        <f t="shared" si="222"/>
        <v/>
      </c>
      <c r="AD843" s="112" t="str">
        <f t="shared" si="223"/>
        <v/>
      </c>
    </row>
    <row r="844" spans="1:30" x14ac:dyDescent="0.2">
      <c r="A844" s="112" t="str">
        <f>IF(SUM(Q844:R844)=1,1+MAX($A$1:A843),"")</f>
        <v/>
      </c>
      <c r="B844" s="112" t="str">
        <f>IF(SUM(X844:Y844)=1,1+MAX($B$1:B843),"")</f>
        <v/>
      </c>
      <c r="C844" s="112" t="str">
        <f>IF(SUM(Q844:R844,X844:Y844)=2,1+MAX($C$1:C843),"")</f>
        <v/>
      </c>
      <c r="D844" s="113">
        <v>12573</v>
      </c>
      <c r="E844" s="112">
        <v>1934</v>
      </c>
      <c r="F844" s="112" t="s">
        <v>2609</v>
      </c>
      <c r="H844" s="114" t="s">
        <v>2648</v>
      </c>
      <c r="I844" s="112">
        <f t="shared" si="212"/>
        <v>3</v>
      </c>
      <c r="J844" s="112">
        <f t="shared" si="213"/>
        <v>1</v>
      </c>
      <c r="K844" s="115" t="s">
        <v>2547</v>
      </c>
      <c r="L844" s="115" t="s">
        <v>3264</v>
      </c>
      <c r="M844" s="115" t="s">
        <v>3267</v>
      </c>
      <c r="N844" s="115">
        <v>10000</v>
      </c>
      <c r="O844" s="112">
        <v>2</v>
      </c>
      <c r="P844" s="116" t="s">
        <v>2663</v>
      </c>
      <c r="Q844" s="112" t="str">
        <f t="shared" si="208"/>
        <v/>
      </c>
      <c r="R844" s="112" t="str">
        <f t="shared" si="209"/>
        <v/>
      </c>
      <c r="S844" s="112" t="str">
        <f t="shared" si="214"/>
        <v/>
      </c>
      <c r="T844" s="112" t="str">
        <f t="shared" si="215"/>
        <v/>
      </c>
      <c r="U844" s="112" t="str">
        <f t="shared" si="216"/>
        <v/>
      </c>
      <c r="V844" s="112" t="str">
        <f t="shared" si="217"/>
        <v/>
      </c>
      <c r="W844" s="112" t="str">
        <f t="shared" si="218"/>
        <v/>
      </c>
      <c r="X844" s="112" t="str">
        <f t="shared" si="210"/>
        <v/>
      </c>
      <c r="Y844" s="112" t="str">
        <f t="shared" si="211"/>
        <v/>
      </c>
      <c r="Z844" s="112" t="str">
        <f t="shared" si="219"/>
        <v/>
      </c>
      <c r="AA844" s="112" t="str">
        <f t="shared" si="220"/>
        <v/>
      </c>
      <c r="AB844" s="112" t="str">
        <f t="shared" si="221"/>
        <v/>
      </c>
      <c r="AC844" s="112" t="str">
        <f t="shared" si="222"/>
        <v/>
      </c>
      <c r="AD844" s="112" t="str">
        <f t="shared" si="223"/>
        <v/>
      </c>
    </row>
    <row r="845" spans="1:30" x14ac:dyDescent="0.2">
      <c r="A845" s="112" t="str">
        <f>IF(SUM(Q845:R845)=1,1+MAX($A$1:A844),"")</f>
        <v/>
      </c>
      <c r="B845" s="112" t="str">
        <f>IF(SUM(X845:Y845)=1,1+MAX($B$1:B844),"")</f>
        <v/>
      </c>
      <c r="C845" s="112" t="str">
        <f>IF(SUM(Q845:R845,X845:Y845)=2,1+MAX($C$1:C844),"")</f>
        <v/>
      </c>
      <c r="D845" s="113">
        <v>12573</v>
      </c>
      <c r="E845" s="112">
        <v>1934</v>
      </c>
      <c r="F845" s="112" t="s">
        <v>2609</v>
      </c>
      <c r="H845" s="114" t="s">
        <v>2623</v>
      </c>
      <c r="I845" s="112">
        <f t="shared" si="212"/>
        <v>0</v>
      </c>
      <c r="J845" s="112">
        <f t="shared" si="213"/>
        <v>1</v>
      </c>
      <c r="K845" s="115" t="s">
        <v>2674</v>
      </c>
      <c r="L845" s="115" t="s">
        <v>2927</v>
      </c>
      <c r="M845" s="115" t="s">
        <v>3242</v>
      </c>
      <c r="N845" s="115">
        <v>60000</v>
      </c>
      <c r="O845" s="112">
        <v>2</v>
      </c>
      <c r="P845" s="116" t="s">
        <v>2601</v>
      </c>
      <c r="Q845" s="112" t="str">
        <f t="shared" si="208"/>
        <v/>
      </c>
      <c r="R845" s="112" t="str">
        <f t="shared" si="209"/>
        <v/>
      </c>
      <c r="S845" s="112" t="str">
        <f t="shared" si="214"/>
        <v/>
      </c>
      <c r="T845" s="112" t="str">
        <f t="shared" si="215"/>
        <v/>
      </c>
      <c r="U845" s="112" t="str">
        <f t="shared" si="216"/>
        <v/>
      </c>
      <c r="V845" s="112" t="str">
        <f t="shared" si="217"/>
        <v/>
      </c>
      <c r="W845" s="112" t="str">
        <f t="shared" si="218"/>
        <v/>
      </c>
      <c r="X845" s="112" t="str">
        <f t="shared" si="210"/>
        <v/>
      </c>
      <c r="Y845" s="112" t="str">
        <f t="shared" si="211"/>
        <v/>
      </c>
      <c r="Z845" s="112" t="str">
        <f t="shared" si="219"/>
        <v/>
      </c>
      <c r="AA845" s="112" t="str">
        <f t="shared" si="220"/>
        <v/>
      </c>
      <c r="AB845" s="112" t="str">
        <f t="shared" si="221"/>
        <v/>
      </c>
      <c r="AC845" s="112" t="str">
        <f t="shared" si="222"/>
        <v/>
      </c>
      <c r="AD845" s="112" t="str">
        <f t="shared" si="223"/>
        <v/>
      </c>
    </row>
    <row r="846" spans="1:30" x14ac:dyDescent="0.2">
      <c r="A846" s="112" t="str">
        <f>IF(SUM(Q846:R846)=1,1+MAX($A$1:A845),"")</f>
        <v/>
      </c>
      <c r="B846" s="112" t="str">
        <f>IF(SUM(X846:Y846)=1,1+MAX($B$1:B845),"")</f>
        <v/>
      </c>
      <c r="C846" s="112" t="str">
        <f>IF(SUM(Q846:R846,X846:Y846)=2,1+MAX($C$1:C845),"")</f>
        <v/>
      </c>
      <c r="D846" s="113">
        <v>12571</v>
      </c>
      <c r="E846" s="112">
        <v>1934</v>
      </c>
      <c r="F846" s="112" t="s">
        <v>2618</v>
      </c>
      <c r="H846" s="114" t="s">
        <v>2674</v>
      </c>
      <c r="I846" s="112">
        <f t="shared" si="212"/>
        <v>1</v>
      </c>
      <c r="J846" s="112">
        <f t="shared" si="213"/>
        <v>0</v>
      </c>
      <c r="K846" s="115" t="s">
        <v>2557</v>
      </c>
      <c r="L846" s="115" t="s">
        <v>2930</v>
      </c>
      <c r="M846" s="115" t="s">
        <v>3268</v>
      </c>
      <c r="N846" s="115">
        <v>45000</v>
      </c>
      <c r="O846" s="112">
        <v>2</v>
      </c>
      <c r="P846" s="116" t="s">
        <v>2622</v>
      </c>
      <c r="Q846" s="112" t="str">
        <f t="shared" si="208"/>
        <v/>
      </c>
      <c r="R846" s="112" t="str">
        <f t="shared" si="209"/>
        <v/>
      </c>
      <c r="S846" s="112" t="str">
        <f t="shared" si="214"/>
        <v/>
      </c>
      <c r="T846" s="112" t="str">
        <f t="shared" si="215"/>
        <v/>
      </c>
      <c r="U846" s="112" t="str">
        <f t="shared" si="216"/>
        <v/>
      </c>
      <c r="V846" s="112" t="str">
        <f t="shared" si="217"/>
        <v/>
      </c>
      <c r="W846" s="112" t="str">
        <f t="shared" si="218"/>
        <v/>
      </c>
      <c r="X846" s="112" t="str">
        <f t="shared" si="210"/>
        <v/>
      </c>
      <c r="Y846" s="112" t="str">
        <f t="shared" si="211"/>
        <v/>
      </c>
      <c r="Z846" s="112" t="str">
        <f t="shared" si="219"/>
        <v/>
      </c>
      <c r="AA846" s="112" t="str">
        <f t="shared" si="220"/>
        <v/>
      </c>
      <c r="AB846" s="112" t="str">
        <f t="shared" si="221"/>
        <v/>
      </c>
      <c r="AC846" s="112" t="str">
        <f t="shared" si="222"/>
        <v/>
      </c>
      <c r="AD846" s="112" t="str">
        <f t="shared" si="223"/>
        <v/>
      </c>
    </row>
    <row r="847" spans="1:30" x14ac:dyDescent="0.2">
      <c r="A847" s="112" t="str">
        <f>IF(SUM(Q847:R847)=1,1+MAX($A$1:A846),"")</f>
        <v/>
      </c>
      <c r="B847" s="112" t="str">
        <f>IF(SUM(X847:Y847)=1,1+MAX($B$1:B846),"")</f>
        <v/>
      </c>
      <c r="C847" s="112" t="str">
        <f>IF(SUM(Q847:R847,X847:Y847)=2,1+MAX($C$1:C846),"")</f>
        <v/>
      </c>
      <c r="D847" s="113">
        <v>12570</v>
      </c>
      <c r="E847" s="112">
        <v>1934</v>
      </c>
      <c r="F847" s="112" t="s">
        <v>2618</v>
      </c>
      <c r="H847" s="114" t="s">
        <v>2648</v>
      </c>
      <c r="I847" s="112">
        <f t="shared" si="212"/>
        <v>3</v>
      </c>
      <c r="J847" s="112">
        <f t="shared" si="213"/>
        <v>2</v>
      </c>
      <c r="K847" s="115" t="s">
        <v>2558</v>
      </c>
      <c r="L847" s="115" t="s">
        <v>3269</v>
      </c>
      <c r="M847" s="115" t="s">
        <v>3270</v>
      </c>
      <c r="N847" s="115">
        <v>12000</v>
      </c>
      <c r="O847" s="112">
        <v>2</v>
      </c>
      <c r="P847" s="116" t="s">
        <v>2664</v>
      </c>
      <c r="Q847" s="112" t="str">
        <f t="shared" si="208"/>
        <v/>
      </c>
      <c r="R847" s="112" t="str">
        <f t="shared" si="209"/>
        <v/>
      </c>
      <c r="S847" s="112" t="str">
        <f t="shared" si="214"/>
        <v/>
      </c>
      <c r="T847" s="112" t="str">
        <f t="shared" si="215"/>
        <v/>
      </c>
      <c r="U847" s="112" t="str">
        <f t="shared" si="216"/>
        <v/>
      </c>
      <c r="V847" s="112" t="str">
        <f t="shared" si="217"/>
        <v/>
      </c>
      <c r="W847" s="112" t="str">
        <f t="shared" si="218"/>
        <v/>
      </c>
      <c r="X847" s="112" t="str">
        <f t="shared" si="210"/>
        <v/>
      </c>
      <c r="Y847" s="112" t="str">
        <f t="shared" si="211"/>
        <v/>
      </c>
      <c r="Z847" s="112" t="str">
        <f t="shared" si="219"/>
        <v/>
      </c>
      <c r="AA847" s="112" t="str">
        <f t="shared" si="220"/>
        <v/>
      </c>
      <c r="AB847" s="112" t="str">
        <f t="shared" si="221"/>
        <v/>
      </c>
      <c r="AC847" s="112" t="str">
        <f t="shared" si="222"/>
        <v/>
      </c>
      <c r="AD847" s="112" t="str">
        <f t="shared" si="223"/>
        <v/>
      </c>
    </row>
    <row r="848" spans="1:30" x14ac:dyDescent="0.2">
      <c r="A848" s="112" t="str">
        <f>IF(SUM(Q848:R848)=1,1+MAX($A$1:A847),"")</f>
        <v/>
      </c>
      <c r="B848" s="112" t="str">
        <f>IF(SUM(X848:Y848)=1,1+MAX($B$1:B847),"")</f>
        <v/>
      </c>
      <c r="C848" s="112" t="str">
        <f>IF(SUM(Q848:R848,X848:Y848)=2,1+MAX($C$1:C847),"")</f>
        <v/>
      </c>
      <c r="D848" s="113">
        <v>12570</v>
      </c>
      <c r="E848" s="112">
        <v>1934</v>
      </c>
      <c r="F848" s="112" t="s">
        <v>2618</v>
      </c>
      <c r="H848" s="114" t="s">
        <v>2547</v>
      </c>
      <c r="I848" s="112">
        <f t="shared" si="212"/>
        <v>2</v>
      </c>
      <c r="J848" s="112">
        <f t="shared" si="213"/>
        <v>1</v>
      </c>
      <c r="K848" s="115" t="s">
        <v>2549</v>
      </c>
      <c r="L848" s="115" t="s">
        <v>2927</v>
      </c>
      <c r="M848" s="115" t="s">
        <v>3267</v>
      </c>
      <c r="N848" s="115">
        <v>15000</v>
      </c>
      <c r="O848" s="112">
        <v>2</v>
      </c>
      <c r="P848" s="116" t="s">
        <v>2626</v>
      </c>
      <c r="Q848" s="112" t="str">
        <f t="shared" si="208"/>
        <v/>
      </c>
      <c r="R848" s="112" t="str">
        <f t="shared" si="209"/>
        <v/>
      </c>
      <c r="S848" s="112" t="str">
        <f t="shared" si="214"/>
        <v/>
      </c>
      <c r="T848" s="112" t="str">
        <f t="shared" si="215"/>
        <v/>
      </c>
      <c r="U848" s="112" t="str">
        <f t="shared" si="216"/>
        <v/>
      </c>
      <c r="V848" s="112" t="str">
        <f t="shared" si="217"/>
        <v/>
      </c>
      <c r="W848" s="112" t="str">
        <f t="shared" si="218"/>
        <v/>
      </c>
      <c r="X848" s="112" t="str">
        <f t="shared" si="210"/>
        <v/>
      </c>
      <c r="Y848" s="112" t="str">
        <f t="shared" si="211"/>
        <v/>
      </c>
      <c r="Z848" s="112" t="str">
        <f t="shared" si="219"/>
        <v/>
      </c>
      <c r="AA848" s="112" t="str">
        <f t="shared" si="220"/>
        <v/>
      </c>
      <c r="AB848" s="112" t="str">
        <f t="shared" si="221"/>
        <v/>
      </c>
      <c r="AC848" s="112" t="str">
        <f t="shared" si="222"/>
        <v/>
      </c>
      <c r="AD848" s="112" t="str">
        <f t="shared" si="223"/>
        <v/>
      </c>
    </row>
    <row r="849" spans="1:30" x14ac:dyDescent="0.2">
      <c r="A849" s="112" t="str">
        <f>IF(SUM(Q849:R849)=1,1+MAX($A$1:A848),"")</f>
        <v/>
      </c>
      <c r="B849" s="112" t="str">
        <f>IF(SUM(X849:Y849)=1,1+MAX($B$1:B848),"")</f>
        <v/>
      </c>
      <c r="C849" s="112" t="str">
        <f>IF(SUM(Q849:R849,X849:Y849)=2,1+MAX($C$1:C848),"")</f>
        <v/>
      </c>
      <c r="D849" s="113">
        <v>12570</v>
      </c>
      <c r="E849" s="112">
        <v>1934</v>
      </c>
      <c r="F849" s="112" t="s">
        <v>2618</v>
      </c>
      <c r="H849" s="114" t="s">
        <v>2674</v>
      </c>
      <c r="I849" s="112">
        <f t="shared" si="212"/>
        <v>1</v>
      </c>
      <c r="J849" s="112">
        <f t="shared" si="213"/>
        <v>1</v>
      </c>
      <c r="K849" s="115" t="s">
        <v>2557</v>
      </c>
      <c r="L849" s="115" t="s">
        <v>2930</v>
      </c>
      <c r="M849" s="115" t="s">
        <v>3271</v>
      </c>
      <c r="N849" s="115">
        <v>35000</v>
      </c>
      <c r="O849" s="112">
        <v>2</v>
      </c>
      <c r="P849" s="116" t="s">
        <v>2645</v>
      </c>
      <c r="Q849" s="112" t="str">
        <f t="shared" si="208"/>
        <v/>
      </c>
      <c r="R849" s="112" t="str">
        <f t="shared" si="209"/>
        <v/>
      </c>
      <c r="S849" s="112" t="str">
        <f t="shared" si="214"/>
        <v/>
      </c>
      <c r="T849" s="112" t="str">
        <f t="shared" si="215"/>
        <v/>
      </c>
      <c r="U849" s="112" t="str">
        <f t="shared" si="216"/>
        <v/>
      </c>
      <c r="V849" s="112" t="str">
        <f t="shared" si="217"/>
        <v/>
      </c>
      <c r="W849" s="112" t="str">
        <f t="shared" si="218"/>
        <v/>
      </c>
      <c r="X849" s="112" t="str">
        <f t="shared" si="210"/>
        <v/>
      </c>
      <c r="Y849" s="112" t="str">
        <f t="shared" si="211"/>
        <v/>
      </c>
      <c r="Z849" s="112" t="str">
        <f t="shared" si="219"/>
        <v/>
      </c>
      <c r="AA849" s="112" t="str">
        <f t="shared" si="220"/>
        <v/>
      </c>
      <c r="AB849" s="112" t="str">
        <f t="shared" si="221"/>
        <v/>
      </c>
      <c r="AC849" s="112" t="str">
        <f t="shared" si="222"/>
        <v/>
      </c>
      <c r="AD849" s="112" t="str">
        <f t="shared" si="223"/>
        <v/>
      </c>
    </row>
    <row r="850" spans="1:30" x14ac:dyDescent="0.2">
      <c r="A850" s="112" t="str">
        <f>IF(SUM(Q850:R850)=1,1+MAX($A$1:A849),"")</f>
        <v/>
      </c>
      <c r="B850" s="112" t="str">
        <f>IF(SUM(X850:Y850)=1,1+MAX($B$1:B849),"")</f>
        <v/>
      </c>
      <c r="C850" s="112" t="str">
        <f>IF(SUM(Q850:R850,X850:Y850)=2,1+MAX($C$1:C849),"")</f>
        <v/>
      </c>
      <c r="D850" s="113">
        <v>12570</v>
      </c>
      <c r="E850" s="112">
        <v>1934</v>
      </c>
      <c r="F850" s="112" t="s">
        <v>2618</v>
      </c>
      <c r="H850" s="114" t="s">
        <v>2623</v>
      </c>
      <c r="I850" s="112">
        <f t="shared" si="212"/>
        <v>2</v>
      </c>
      <c r="J850" s="112">
        <f t="shared" si="213"/>
        <v>1</v>
      </c>
      <c r="K850" s="115" t="s">
        <v>2725</v>
      </c>
      <c r="L850" s="115" t="s">
        <v>2931</v>
      </c>
      <c r="M850" s="115" t="s">
        <v>3272</v>
      </c>
      <c r="N850" s="115">
        <v>25000</v>
      </c>
      <c r="O850" s="112">
        <v>2</v>
      </c>
      <c r="P850" s="116" t="s">
        <v>2626</v>
      </c>
      <c r="Q850" s="112" t="str">
        <f t="shared" si="208"/>
        <v/>
      </c>
      <c r="R850" s="112" t="str">
        <f t="shared" si="209"/>
        <v/>
      </c>
      <c r="S850" s="112" t="str">
        <f t="shared" si="214"/>
        <v/>
      </c>
      <c r="T850" s="112" t="str">
        <f t="shared" si="215"/>
        <v/>
      </c>
      <c r="U850" s="112" t="str">
        <f t="shared" si="216"/>
        <v/>
      </c>
      <c r="V850" s="112" t="str">
        <f t="shared" si="217"/>
        <v/>
      </c>
      <c r="W850" s="112" t="str">
        <f t="shared" si="218"/>
        <v/>
      </c>
      <c r="X850" s="112" t="str">
        <f t="shared" si="210"/>
        <v/>
      </c>
      <c r="Y850" s="112" t="str">
        <f t="shared" si="211"/>
        <v/>
      </c>
      <c r="Z850" s="112" t="str">
        <f t="shared" si="219"/>
        <v/>
      </c>
      <c r="AA850" s="112" t="str">
        <f t="shared" si="220"/>
        <v/>
      </c>
      <c r="AB850" s="112" t="str">
        <f t="shared" si="221"/>
        <v/>
      </c>
      <c r="AC850" s="112" t="str">
        <f t="shared" si="222"/>
        <v/>
      </c>
      <c r="AD850" s="112" t="str">
        <f t="shared" si="223"/>
        <v/>
      </c>
    </row>
    <row r="851" spans="1:30" x14ac:dyDescent="0.2">
      <c r="A851" s="112" t="str">
        <f>IF(SUM(Q851:R851)=1,1+MAX($A$1:A850),"")</f>
        <v/>
      </c>
      <c r="B851" s="112" t="str">
        <f>IF(SUM(X851:Y851)=1,1+MAX($B$1:B850),"")</f>
        <v/>
      </c>
      <c r="C851" s="112" t="str">
        <f>IF(SUM(Q851:R851,X851:Y851)=2,1+MAX($C$1:C850),"")</f>
        <v/>
      </c>
      <c r="D851" s="113">
        <v>12566</v>
      </c>
      <c r="E851" s="112">
        <v>1934</v>
      </c>
      <c r="F851" s="112" t="s">
        <v>3035</v>
      </c>
      <c r="G851" s="112">
        <v>1</v>
      </c>
      <c r="H851" s="114" t="s">
        <v>2554</v>
      </c>
      <c r="I851" s="112">
        <f t="shared" si="212"/>
        <v>2</v>
      </c>
      <c r="J851" s="112">
        <f t="shared" si="213"/>
        <v>5</v>
      </c>
      <c r="K851" s="115" t="s">
        <v>2547</v>
      </c>
      <c r="L851" s="115" t="s">
        <v>2930</v>
      </c>
      <c r="M851" s="115" t="s">
        <v>3272</v>
      </c>
      <c r="N851" s="115">
        <v>8000</v>
      </c>
      <c r="O851" s="112">
        <v>2</v>
      </c>
      <c r="P851" s="116" t="s">
        <v>3053</v>
      </c>
      <c r="Q851" s="112" t="str">
        <f t="shared" si="208"/>
        <v/>
      </c>
      <c r="R851" s="112" t="str">
        <f t="shared" si="209"/>
        <v/>
      </c>
      <c r="S851" s="112" t="str">
        <f t="shared" si="214"/>
        <v/>
      </c>
      <c r="T851" s="112" t="str">
        <f t="shared" si="215"/>
        <v/>
      </c>
      <c r="U851" s="112" t="str">
        <f t="shared" si="216"/>
        <v/>
      </c>
      <c r="V851" s="112" t="str">
        <f t="shared" si="217"/>
        <v/>
      </c>
      <c r="W851" s="112" t="str">
        <f t="shared" si="218"/>
        <v/>
      </c>
      <c r="X851" s="112" t="str">
        <f t="shared" si="210"/>
        <v/>
      </c>
      <c r="Y851" s="112" t="str">
        <f t="shared" si="211"/>
        <v/>
      </c>
      <c r="Z851" s="112" t="str">
        <f t="shared" si="219"/>
        <v/>
      </c>
      <c r="AA851" s="112" t="str">
        <f t="shared" si="220"/>
        <v/>
      </c>
      <c r="AB851" s="112" t="str">
        <f t="shared" si="221"/>
        <v/>
      </c>
      <c r="AC851" s="112" t="str">
        <f t="shared" si="222"/>
        <v/>
      </c>
      <c r="AD851" s="112" t="str">
        <f t="shared" si="223"/>
        <v/>
      </c>
    </row>
    <row r="852" spans="1:30" x14ac:dyDescent="0.2">
      <c r="A852" s="112" t="str">
        <f>IF(SUM(Q852:R852)=1,1+MAX($A$1:A851),"")</f>
        <v/>
      </c>
      <c r="B852" s="112" t="str">
        <f>IF(SUM(X852:Y852)=1,1+MAX($B$1:B851),"")</f>
        <v/>
      </c>
      <c r="C852" s="112" t="str">
        <f>IF(SUM(Q852:R852,X852:Y852)=2,1+MAX($C$1:C851),"")</f>
        <v/>
      </c>
      <c r="D852" s="113">
        <v>12566</v>
      </c>
      <c r="E852" s="112">
        <v>1934</v>
      </c>
      <c r="F852" s="112" t="s">
        <v>3035</v>
      </c>
      <c r="G852" s="112">
        <v>1</v>
      </c>
      <c r="H852" s="114" t="s">
        <v>2623</v>
      </c>
      <c r="I852" s="112">
        <f t="shared" si="212"/>
        <v>3</v>
      </c>
      <c r="J852" s="112">
        <f t="shared" si="213"/>
        <v>2</v>
      </c>
      <c r="K852" s="115" t="s">
        <v>2541</v>
      </c>
      <c r="L852" s="115" t="s">
        <v>3269</v>
      </c>
      <c r="M852" s="115" t="s">
        <v>3273</v>
      </c>
      <c r="N852" s="115">
        <v>20000</v>
      </c>
      <c r="O852" s="112">
        <v>2</v>
      </c>
      <c r="P852" s="116" t="s">
        <v>2664</v>
      </c>
      <c r="Q852" s="112" t="str">
        <f t="shared" si="208"/>
        <v/>
      </c>
      <c r="R852" s="112" t="str">
        <f t="shared" si="209"/>
        <v/>
      </c>
      <c r="S852" s="112" t="str">
        <f t="shared" si="214"/>
        <v/>
      </c>
      <c r="T852" s="112" t="str">
        <f t="shared" si="215"/>
        <v/>
      </c>
      <c r="U852" s="112" t="str">
        <f t="shared" si="216"/>
        <v/>
      </c>
      <c r="V852" s="112" t="str">
        <f t="shared" si="217"/>
        <v/>
      </c>
      <c r="W852" s="112" t="str">
        <f t="shared" si="218"/>
        <v/>
      </c>
      <c r="X852" s="112" t="str">
        <f t="shared" si="210"/>
        <v/>
      </c>
      <c r="Y852" s="112" t="str">
        <f t="shared" si="211"/>
        <v/>
      </c>
      <c r="Z852" s="112" t="str">
        <f t="shared" si="219"/>
        <v/>
      </c>
      <c r="AA852" s="112" t="str">
        <f t="shared" si="220"/>
        <v/>
      </c>
      <c r="AB852" s="112" t="str">
        <f t="shared" si="221"/>
        <v/>
      </c>
      <c r="AC852" s="112" t="str">
        <f t="shared" si="222"/>
        <v/>
      </c>
      <c r="AD852" s="112" t="str">
        <f t="shared" si="223"/>
        <v/>
      </c>
    </row>
    <row r="853" spans="1:30" x14ac:dyDescent="0.2">
      <c r="A853" s="112" t="str">
        <f>IF(SUM(Q853:R853)=1,1+MAX($A$1:A852),"")</f>
        <v/>
      </c>
      <c r="B853" s="112">
        <f>IF(SUM(X853:Y853)=1,1+MAX($B$1:B852),"")</f>
        <v>78</v>
      </c>
      <c r="C853" s="112" t="str">
        <f>IF(SUM(Q853:R853,X853:Y853)=2,1+MAX($C$1:C852),"")</f>
        <v/>
      </c>
      <c r="D853" s="113">
        <v>12566</v>
      </c>
      <c r="E853" s="112">
        <v>1934</v>
      </c>
      <c r="F853" s="112" t="s">
        <v>3035</v>
      </c>
      <c r="G853" s="112">
        <v>1</v>
      </c>
      <c r="H853" s="114" t="s">
        <v>1134</v>
      </c>
      <c r="I853" s="112">
        <f t="shared" si="212"/>
        <v>2</v>
      </c>
      <c r="J853" s="112">
        <f t="shared" si="213"/>
        <v>3</v>
      </c>
      <c r="K853" s="115" t="s">
        <v>2549</v>
      </c>
      <c r="L853" s="115" t="s">
        <v>2931</v>
      </c>
      <c r="M853" s="115" t="s">
        <v>3274</v>
      </c>
      <c r="N853" s="115">
        <v>15000</v>
      </c>
      <c r="O853" s="112">
        <v>2</v>
      </c>
      <c r="P853" s="116" t="s">
        <v>2706</v>
      </c>
      <c r="Q853" s="112" t="str">
        <f t="shared" si="208"/>
        <v/>
      </c>
      <c r="R853" s="112" t="str">
        <f t="shared" si="209"/>
        <v/>
      </c>
      <c r="S853" s="112" t="str">
        <f t="shared" si="214"/>
        <v/>
      </c>
      <c r="T853" s="112" t="str">
        <f t="shared" si="215"/>
        <v/>
      </c>
      <c r="U853" s="112" t="str">
        <f t="shared" si="216"/>
        <v/>
      </c>
      <c r="V853" s="112" t="str">
        <f t="shared" si="217"/>
        <v/>
      </c>
      <c r="W853" s="112" t="str">
        <f t="shared" si="218"/>
        <v/>
      </c>
      <c r="X853" s="112">
        <f t="shared" si="210"/>
        <v>1</v>
      </c>
      <c r="Y853" s="112" t="str">
        <f t="shared" si="211"/>
        <v/>
      </c>
      <c r="Z853" s="112">
        <f t="shared" si="219"/>
        <v>0</v>
      </c>
      <c r="AA853" s="112">
        <f t="shared" si="220"/>
        <v>0</v>
      </c>
      <c r="AB853" s="112">
        <f t="shared" si="221"/>
        <v>1</v>
      </c>
      <c r="AC853" s="112">
        <f t="shared" si="222"/>
        <v>5</v>
      </c>
      <c r="AD853" s="112">
        <f t="shared" si="223"/>
        <v>-1</v>
      </c>
    </row>
    <row r="854" spans="1:30" x14ac:dyDescent="0.2">
      <c r="A854" s="112" t="str">
        <f>IF(SUM(Q854:R854)=1,1+MAX($A$1:A853),"")</f>
        <v/>
      </c>
      <c r="B854" s="112" t="str">
        <f>IF(SUM(X854:Y854)=1,1+MAX($B$1:B853),"")</f>
        <v/>
      </c>
      <c r="C854" s="112" t="str">
        <f>IF(SUM(Q854:R854,X854:Y854)=2,1+MAX($C$1:C853),"")</f>
        <v/>
      </c>
      <c r="D854" s="113">
        <v>12566</v>
      </c>
      <c r="E854" s="112">
        <v>1934</v>
      </c>
      <c r="F854" s="112" t="s">
        <v>3035</v>
      </c>
      <c r="G854" s="112">
        <v>1</v>
      </c>
      <c r="H854" s="114" t="s">
        <v>2648</v>
      </c>
      <c r="I854" s="112">
        <f t="shared" si="212"/>
        <v>2</v>
      </c>
      <c r="J854" s="112">
        <f t="shared" si="213"/>
        <v>1</v>
      </c>
      <c r="K854" s="115" t="s">
        <v>2711</v>
      </c>
      <c r="L854" s="115" t="s">
        <v>3275</v>
      </c>
      <c r="M854" s="115" t="s">
        <v>3253</v>
      </c>
      <c r="N854" s="115">
        <v>8000</v>
      </c>
      <c r="O854" s="112">
        <v>2</v>
      </c>
      <c r="P854" s="116" t="s">
        <v>2626</v>
      </c>
      <c r="Q854" s="112" t="str">
        <f t="shared" si="208"/>
        <v/>
      </c>
      <c r="R854" s="112" t="str">
        <f t="shared" si="209"/>
        <v/>
      </c>
      <c r="S854" s="112" t="str">
        <f t="shared" si="214"/>
        <v/>
      </c>
      <c r="T854" s="112" t="str">
        <f t="shared" si="215"/>
        <v/>
      </c>
      <c r="U854" s="112" t="str">
        <f t="shared" si="216"/>
        <v/>
      </c>
      <c r="V854" s="112" t="str">
        <f t="shared" si="217"/>
        <v/>
      </c>
      <c r="W854" s="112" t="str">
        <f t="shared" si="218"/>
        <v/>
      </c>
      <c r="X854" s="112" t="str">
        <f t="shared" si="210"/>
        <v/>
      </c>
      <c r="Y854" s="112" t="str">
        <f t="shared" si="211"/>
        <v/>
      </c>
      <c r="Z854" s="112" t="str">
        <f t="shared" si="219"/>
        <v/>
      </c>
      <c r="AA854" s="112" t="str">
        <f t="shared" si="220"/>
        <v/>
      </c>
      <c r="AB854" s="112" t="str">
        <f t="shared" si="221"/>
        <v/>
      </c>
      <c r="AC854" s="112" t="str">
        <f t="shared" si="222"/>
        <v/>
      </c>
      <c r="AD854" s="112" t="str">
        <f t="shared" si="223"/>
        <v/>
      </c>
    </row>
    <row r="855" spans="1:30" x14ac:dyDescent="0.2">
      <c r="A855" s="112" t="str">
        <f>IF(SUM(Q855:R855)=1,1+MAX($A$1:A854),"")</f>
        <v/>
      </c>
      <c r="B855" s="112" t="str">
        <f>IF(SUM(X855:Y855)=1,1+MAX($B$1:B854),"")</f>
        <v/>
      </c>
      <c r="C855" s="112" t="str">
        <f>IF(SUM(Q855:R855,X855:Y855)=2,1+MAX($C$1:C854),"")</f>
        <v/>
      </c>
      <c r="D855" s="113">
        <v>12566</v>
      </c>
      <c r="E855" s="112">
        <v>1934</v>
      </c>
      <c r="F855" s="112" t="s">
        <v>3035</v>
      </c>
      <c r="G855" s="112">
        <v>1</v>
      </c>
      <c r="H855" s="114" t="s">
        <v>2674</v>
      </c>
      <c r="I855" s="112">
        <f t="shared" si="212"/>
        <v>7</v>
      </c>
      <c r="J855" s="112">
        <f t="shared" si="213"/>
        <v>1</v>
      </c>
      <c r="K855" s="115" t="s">
        <v>2614</v>
      </c>
      <c r="L855" s="115" t="s">
        <v>3264</v>
      </c>
      <c r="M855" s="115" t="s">
        <v>3268</v>
      </c>
      <c r="N855" s="115">
        <v>13000</v>
      </c>
      <c r="O855" s="112">
        <v>2</v>
      </c>
      <c r="P855" s="116" t="s">
        <v>3235</v>
      </c>
      <c r="Q855" s="112" t="str">
        <f t="shared" si="208"/>
        <v/>
      </c>
      <c r="R855" s="112" t="str">
        <f t="shared" si="209"/>
        <v/>
      </c>
      <c r="S855" s="112" t="str">
        <f t="shared" si="214"/>
        <v/>
      </c>
      <c r="T855" s="112" t="str">
        <f t="shared" si="215"/>
        <v/>
      </c>
      <c r="U855" s="112" t="str">
        <f t="shared" si="216"/>
        <v/>
      </c>
      <c r="V855" s="112" t="str">
        <f t="shared" si="217"/>
        <v/>
      </c>
      <c r="W855" s="112" t="str">
        <f t="shared" si="218"/>
        <v/>
      </c>
      <c r="X855" s="112" t="str">
        <f t="shared" si="210"/>
        <v/>
      </c>
      <c r="Y855" s="112" t="str">
        <f t="shared" si="211"/>
        <v/>
      </c>
      <c r="Z855" s="112" t="str">
        <f t="shared" si="219"/>
        <v/>
      </c>
      <c r="AA855" s="112" t="str">
        <f t="shared" si="220"/>
        <v/>
      </c>
      <c r="AB855" s="112" t="str">
        <f t="shared" si="221"/>
        <v/>
      </c>
      <c r="AC855" s="112" t="str">
        <f t="shared" si="222"/>
        <v/>
      </c>
      <c r="AD855" s="112" t="str">
        <f t="shared" si="223"/>
        <v/>
      </c>
    </row>
    <row r="856" spans="1:30" x14ac:dyDescent="0.2">
      <c r="A856" s="112" t="str">
        <f>IF(SUM(Q856:R856)=1,1+MAX($A$1:A855),"")</f>
        <v/>
      </c>
      <c r="B856" s="112" t="str">
        <f>IF(SUM(X856:Y856)=1,1+MAX($B$1:B855),"")</f>
        <v/>
      </c>
      <c r="C856" s="112" t="str">
        <f>IF(SUM(Q856:R856,X856:Y856)=2,1+MAX($C$1:C855),"")</f>
        <v/>
      </c>
      <c r="D856" s="113">
        <v>12566</v>
      </c>
      <c r="E856" s="112">
        <v>1934</v>
      </c>
      <c r="F856" s="112" t="s">
        <v>3035</v>
      </c>
      <c r="G856" s="112">
        <v>1</v>
      </c>
      <c r="H856" s="114" t="s">
        <v>2604</v>
      </c>
      <c r="I856" s="112">
        <f t="shared" si="212"/>
        <v>2</v>
      </c>
      <c r="J856" s="112">
        <f t="shared" si="213"/>
        <v>3</v>
      </c>
      <c r="K856" s="115" t="s">
        <v>2558</v>
      </c>
      <c r="L856" s="115" t="s">
        <v>2927</v>
      </c>
      <c r="M856" s="115" t="s">
        <v>3242</v>
      </c>
      <c r="N856" s="115">
        <v>40000</v>
      </c>
      <c r="O856" s="112">
        <v>2</v>
      </c>
      <c r="P856" s="116" t="s">
        <v>2706</v>
      </c>
      <c r="Q856" s="112" t="str">
        <f t="shared" si="208"/>
        <v/>
      </c>
      <c r="R856" s="112" t="str">
        <f t="shared" si="209"/>
        <v/>
      </c>
      <c r="S856" s="112" t="str">
        <f t="shared" si="214"/>
        <v/>
      </c>
      <c r="T856" s="112" t="str">
        <f t="shared" si="215"/>
        <v/>
      </c>
      <c r="U856" s="112" t="str">
        <f t="shared" si="216"/>
        <v/>
      </c>
      <c r="V856" s="112" t="str">
        <f t="shared" si="217"/>
        <v/>
      </c>
      <c r="W856" s="112" t="str">
        <f t="shared" si="218"/>
        <v/>
      </c>
      <c r="X856" s="112" t="str">
        <f t="shared" si="210"/>
        <v/>
      </c>
      <c r="Y856" s="112" t="str">
        <f t="shared" si="211"/>
        <v/>
      </c>
      <c r="Z856" s="112" t="str">
        <f t="shared" si="219"/>
        <v/>
      </c>
      <c r="AA856" s="112" t="str">
        <f t="shared" si="220"/>
        <v/>
      </c>
      <c r="AB856" s="112" t="str">
        <f t="shared" si="221"/>
        <v/>
      </c>
      <c r="AC856" s="112" t="str">
        <f t="shared" si="222"/>
        <v/>
      </c>
      <c r="AD856" s="112" t="str">
        <f t="shared" si="223"/>
        <v/>
      </c>
    </row>
    <row r="857" spans="1:30" x14ac:dyDescent="0.2">
      <c r="A857" s="112" t="str">
        <f>IF(SUM(Q857:R857)=1,1+MAX($A$1:A856),"")</f>
        <v/>
      </c>
      <c r="B857" s="112" t="str">
        <f>IF(SUM(X857:Y857)=1,1+MAX($B$1:B856),"")</f>
        <v/>
      </c>
      <c r="C857" s="112" t="str">
        <f>IF(SUM(Q857:R857,X857:Y857)=2,1+MAX($C$1:C856),"")</f>
        <v/>
      </c>
      <c r="D857" s="113">
        <v>12566</v>
      </c>
      <c r="E857" s="112">
        <v>1934</v>
      </c>
      <c r="F857" s="112" t="s">
        <v>3035</v>
      </c>
      <c r="G857" s="112">
        <v>1</v>
      </c>
      <c r="H857" s="114" t="s">
        <v>2552</v>
      </c>
      <c r="I857" s="112">
        <f t="shared" si="212"/>
        <v>2</v>
      </c>
      <c r="J857" s="112">
        <f t="shared" si="213"/>
        <v>4</v>
      </c>
      <c r="K857" s="115" t="s">
        <v>2725</v>
      </c>
      <c r="L857" s="115" t="s">
        <v>3265</v>
      </c>
      <c r="M857" s="115" t="s">
        <v>3267</v>
      </c>
      <c r="N857" s="115">
        <v>12000</v>
      </c>
      <c r="O857" s="112">
        <v>2</v>
      </c>
      <c r="P857" s="116" t="s">
        <v>2796</v>
      </c>
      <c r="Q857" s="112" t="str">
        <f t="shared" si="208"/>
        <v/>
      </c>
      <c r="R857" s="112" t="str">
        <f t="shared" si="209"/>
        <v/>
      </c>
      <c r="S857" s="112" t="str">
        <f t="shared" si="214"/>
        <v/>
      </c>
      <c r="T857" s="112" t="str">
        <f t="shared" si="215"/>
        <v/>
      </c>
      <c r="U857" s="112" t="str">
        <f t="shared" si="216"/>
        <v/>
      </c>
      <c r="V857" s="112" t="str">
        <f t="shared" si="217"/>
        <v/>
      </c>
      <c r="W857" s="112" t="str">
        <f t="shared" si="218"/>
        <v/>
      </c>
      <c r="X857" s="112" t="str">
        <f t="shared" si="210"/>
        <v/>
      </c>
      <c r="Y857" s="112" t="str">
        <f t="shared" si="211"/>
        <v/>
      </c>
      <c r="Z857" s="112" t="str">
        <f t="shared" si="219"/>
        <v/>
      </c>
      <c r="AA857" s="112" t="str">
        <f t="shared" si="220"/>
        <v/>
      </c>
      <c r="AB857" s="112" t="str">
        <f t="shared" si="221"/>
        <v/>
      </c>
      <c r="AC857" s="112" t="str">
        <f t="shared" si="222"/>
        <v/>
      </c>
      <c r="AD857" s="112" t="str">
        <f t="shared" si="223"/>
        <v/>
      </c>
    </row>
    <row r="858" spans="1:30" x14ac:dyDescent="0.2">
      <c r="A858" s="112" t="str">
        <f>IF(SUM(Q858:R858)=1,1+MAX($A$1:A857),"")</f>
        <v/>
      </c>
      <c r="B858" s="112" t="str">
        <f>IF(SUM(X858:Y858)=1,1+MAX($B$1:B857),"")</f>
        <v/>
      </c>
      <c r="C858" s="112" t="str">
        <f>IF(SUM(Q858:R858,X858:Y858)=2,1+MAX($C$1:C857),"")</f>
        <v/>
      </c>
      <c r="D858" s="113">
        <v>12566</v>
      </c>
      <c r="E858" s="112">
        <v>1934</v>
      </c>
      <c r="F858" s="112" t="s">
        <v>3035</v>
      </c>
      <c r="G858" s="112">
        <v>1</v>
      </c>
      <c r="H858" s="114" t="s">
        <v>1442</v>
      </c>
      <c r="I858" s="112">
        <f t="shared" si="212"/>
        <v>1</v>
      </c>
      <c r="J858" s="112">
        <f t="shared" si="213"/>
        <v>3</v>
      </c>
      <c r="K858" s="115" t="s">
        <v>2557</v>
      </c>
      <c r="L858" s="115" t="s">
        <v>2935</v>
      </c>
      <c r="M858" s="115" t="s">
        <v>3276</v>
      </c>
      <c r="N858" s="115">
        <v>21000</v>
      </c>
      <c r="O858" s="112">
        <v>3</v>
      </c>
      <c r="P858" s="116" t="s">
        <v>2691</v>
      </c>
      <c r="Q858" s="112" t="str">
        <f t="shared" si="208"/>
        <v/>
      </c>
      <c r="R858" s="112" t="str">
        <f t="shared" si="209"/>
        <v/>
      </c>
      <c r="S858" s="112" t="str">
        <f t="shared" si="214"/>
        <v/>
      </c>
      <c r="T858" s="112" t="str">
        <f t="shared" si="215"/>
        <v/>
      </c>
      <c r="U858" s="112" t="str">
        <f t="shared" si="216"/>
        <v/>
      </c>
      <c r="V858" s="112" t="str">
        <f t="shared" si="217"/>
        <v/>
      </c>
      <c r="W858" s="112" t="str">
        <f t="shared" si="218"/>
        <v/>
      </c>
      <c r="X858" s="112" t="str">
        <f t="shared" si="210"/>
        <v/>
      </c>
      <c r="Y858" s="112" t="str">
        <f t="shared" si="211"/>
        <v/>
      </c>
      <c r="Z858" s="112" t="str">
        <f t="shared" si="219"/>
        <v/>
      </c>
      <c r="AA858" s="112" t="str">
        <f t="shared" si="220"/>
        <v/>
      </c>
      <c r="AB858" s="112" t="str">
        <f t="shared" si="221"/>
        <v/>
      </c>
      <c r="AC858" s="112" t="str">
        <f t="shared" si="222"/>
        <v/>
      </c>
      <c r="AD858" s="112" t="str">
        <f t="shared" si="223"/>
        <v/>
      </c>
    </row>
    <row r="859" spans="1:30" x14ac:dyDescent="0.2">
      <c r="A859" s="112" t="str">
        <f>IF(SUM(Q859:R859)=1,1+MAX($A$1:A858),"")</f>
        <v/>
      </c>
      <c r="B859" s="112">
        <f>IF(SUM(X859:Y859)=1,1+MAX($B$1:B858),"")</f>
        <v>79</v>
      </c>
      <c r="C859" s="112" t="str">
        <f>IF(SUM(Q859:R859,X859:Y859)=2,1+MAX($C$1:C858),"")</f>
        <v/>
      </c>
      <c r="D859" s="113">
        <v>11169</v>
      </c>
      <c r="E859" s="112">
        <v>1930</v>
      </c>
      <c r="F859" s="112" t="s">
        <v>2597</v>
      </c>
      <c r="H859" s="114" t="s">
        <v>1134</v>
      </c>
      <c r="I859" s="112">
        <f t="shared" si="212"/>
        <v>2</v>
      </c>
      <c r="J859" s="112">
        <f t="shared" si="213"/>
        <v>4</v>
      </c>
      <c r="K859" s="115" t="s">
        <v>2540</v>
      </c>
      <c r="L859" s="115" t="s">
        <v>3277</v>
      </c>
      <c r="M859" s="115" t="s">
        <v>3253</v>
      </c>
      <c r="N859" s="115">
        <v>93000</v>
      </c>
      <c r="O859" s="112">
        <v>3</v>
      </c>
      <c r="P859" s="116" t="s">
        <v>2796</v>
      </c>
      <c r="Q859" s="112" t="str">
        <f t="shared" si="208"/>
        <v/>
      </c>
      <c r="R859" s="112" t="str">
        <f t="shared" si="209"/>
        <v/>
      </c>
      <c r="S859" s="112" t="str">
        <f t="shared" si="214"/>
        <v/>
      </c>
      <c r="T859" s="112" t="str">
        <f t="shared" si="215"/>
        <v/>
      </c>
      <c r="U859" s="112" t="str">
        <f t="shared" si="216"/>
        <v/>
      </c>
      <c r="V859" s="112" t="str">
        <f t="shared" si="217"/>
        <v/>
      </c>
      <c r="W859" s="112" t="str">
        <f t="shared" si="218"/>
        <v/>
      </c>
      <c r="X859" s="112">
        <f t="shared" si="210"/>
        <v>1</v>
      </c>
      <c r="Y859" s="112" t="str">
        <f t="shared" si="211"/>
        <v/>
      </c>
      <c r="Z859" s="112">
        <f t="shared" si="219"/>
        <v>0</v>
      </c>
      <c r="AA859" s="112">
        <f t="shared" si="220"/>
        <v>0</v>
      </c>
      <c r="AB859" s="112">
        <f t="shared" si="221"/>
        <v>1</v>
      </c>
      <c r="AC859" s="112">
        <f t="shared" si="222"/>
        <v>6</v>
      </c>
      <c r="AD859" s="112">
        <f t="shared" si="223"/>
        <v>-2</v>
      </c>
    </row>
    <row r="860" spans="1:30" x14ac:dyDescent="0.2">
      <c r="A860" s="112" t="str">
        <f>IF(SUM(Q860:R860)=1,1+MAX($A$1:A859),"")</f>
        <v/>
      </c>
      <c r="B860" s="112" t="str">
        <f>IF(SUM(X860:Y860)=1,1+MAX($B$1:B859),"")</f>
        <v/>
      </c>
      <c r="C860" s="112" t="str">
        <f>IF(SUM(Q860:R860,X860:Y860)=2,1+MAX($C$1:C859),"")</f>
        <v/>
      </c>
      <c r="D860" s="113">
        <v>11166</v>
      </c>
      <c r="E860" s="112">
        <v>1930</v>
      </c>
      <c r="F860" s="112" t="s">
        <v>2609</v>
      </c>
      <c r="H860" s="114" t="s">
        <v>2540</v>
      </c>
      <c r="I860" s="112">
        <f t="shared" si="212"/>
        <v>6</v>
      </c>
      <c r="J860" s="112">
        <f t="shared" si="213"/>
        <v>1</v>
      </c>
      <c r="K860" s="115" t="s">
        <v>2862</v>
      </c>
      <c r="L860" s="115" t="s">
        <v>3277</v>
      </c>
      <c r="M860" s="115" t="s">
        <v>3278</v>
      </c>
      <c r="N860" s="115">
        <v>79867</v>
      </c>
      <c r="O860" s="112">
        <v>3</v>
      </c>
      <c r="P860" s="116" t="s">
        <v>2984</v>
      </c>
      <c r="Q860" s="112" t="str">
        <f t="shared" si="208"/>
        <v/>
      </c>
      <c r="R860" s="112" t="str">
        <f t="shared" si="209"/>
        <v/>
      </c>
      <c r="S860" s="112" t="str">
        <f t="shared" si="214"/>
        <v/>
      </c>
      <c r="T860" s="112" t="str">
        <f t="shared" si="215"/>
        <v/>
      </c>
      <c r="U860" s="112" t="str">
        <f t="shared" si="216"/>
        <v/>
      </c>
      <c r="V860" s="112" t="str">
        <f t="shared" si="217"/>
        <v/>
      </c>
      <c r="W860" s="112" t="str">
        <f t="shared" si="218"/>
        <v/>
      </c>
      <c r="X860" s="112" t="str">
        <f t="shared" si="210"/>
        <v/>
      </c>
      <c r="Y860" s="112" t="str">
        <f t="shared" si="211"/>
        <v/>
      </c>
      <c r="Z860" s="112" t="str">
        <f t="shared" si="219"/>
        <v/>
      </c>
      <c r="AA860" s="112" t="str">
        <f t="shared" si="220"/>
        <v/>
      </c>
      <c r="AB860" s="112" t="str">
        <f t="shared" si="221"/>
        <v/>
      </c>
      <c r="AC860" s="112" t="str">
        <f t="shared" si="222"/>
        <v/>
      </c>
      <c r="AD860" s="112" t="str">
        <f t="shared" si="223"/>
        <v/>
      </c>
    </row>
    <row r="861" spans="1:30" x14ac:dyDescent="0.2">
      <c r="A861" s="112" t="str">
        <f>IF(SUM(Q861:R861)=1,1+MAX($A$1:A860),"")</f>
        <v/>
      </c>
      <c r="B861" s="112">
        <f>IF(SUM(X861:Y861)=1,1+MAX($B$1:B860),"")</f>
        <v>80</v>
      </c>
      <c r="C861" s="112" t="str">
        <f>IF(SUM(Q861:R861,X861:Y861)=2,1+MAX($C$1:C860),"")</f>
        <v/>
      </c>
      <c r="D861" s="113">
        <v>11165</v>
      </c>
      <c r="E861" s="112">
        <v>1930</v>
      </c>
      <c r="F861" s="112" t="s">
        <v>2609</v>
      </c>
      <c r="H861" s="114" t="s">
        <v>1134</v>
      </c>
      <c r="I861" s="112">
        <f t="shared" si="212"/>
        <v>6</v>
      </c>
      <c r="J861" s="112">
        <f t="shared" si="213"/>
        <v>1</v>
      </c>
      <c r="K861" s="115" t="s">
        <v>2614</v>
      </c>
      <c r="L861" s="115" t="s">
        <v>3277</v>
      </c>
      <c r="M861" s="115" t="s">
        <v>3253</v>
      </c>
      <c r="N861" s="115">
        <v>72886</v>
      </c>
      <c r="O861" s="112">
        <v>2</v>
      </c>
      <c r="P861" s="116" t="s">
        <v>2984</v>
      </c>
      <c r="Q861" s="112" t="str">
        <f t="shared" si="208"/>
        <v/>
      </c>
      <c r="R861" s="112" t="str">
        <f t="shared" si="209"/>
        <v/>
      </c>
      <c r="S861" s="112" t="str">
        <f t="shared" si="214"/>
        <v/>
      </c>
      <c r="T861" s="112" t="str">
        <f t="shared" si="215"/>
        <v/>
      </c>
      <c r="U861" s="112" t="str">
        <f t="shared" si="216"/>
        <v/>
      </c>
      <c r="V861" s="112" t="str">
        <f t="shared" si="217"/>
        <v/>
      </c>
      <c r="W861" s="112" t="str">
        <f t="shared" si="218"/>
        <v/>
      </c>
      <c r="X861" s="112">
        <f t="shared" si="210"/>
        <v>1</v>
      </c>
      <c r="Y861" s="112" t="str">
        <f t="shared" si="211"/>
        <v/>
      </c>
      <c r="Z861" s="112">
        <f t="shared" si="219"/>
        <v>1</v>
      </c>
      <c r="AA861" s="112">
        <f t="shared" si="220"/>
        <v>0</v>
      </c>
      <c r="AB861" s="112">
        <f t="shared" si="221"/>
        <v>0</v>
      </c>
      <c r="AC861" s="112">
        <f t="shared" si="222"/>
        <v>7</v>
      </c>
      <c r="AD861" s="112">
        <f t="shared" si="223"/>
        <v>5</v>
      </c>
    </row>
    <row r="862" spans="1:30" x14ac:dyDescent="0.2">
      <c r="A862" s="112" t="str">
        <f>IF(SUM(Q862:R862)=1,1+MAX($A$1:A861),"")</f>
        <v/>
      </c>
      <c r="B862" s="112">
        <f>IF(SUM(X862:Y862)=1,1+MAX($B$1:B861),"")</f>
        <v>81</v>
      </c>
      <c r="C862" s="112" t="str">
        <f>IF(SUM(Q862:R862,X862:Y862)=2,1+MAX($C$1:C861),"")</f>
        <v/>
      </c>
      <c r="D862" s="113">
        <v>11161</v>
      </c>
      <c r="E862" s="112">
        <v>1930</v>
      </c>
      <c r="F862" s="112" t="s">
        <v>3035</v>
      </c>
      <c r="G862" s="112">
        <v>1</v>
      </c>
      <c r="H862" s="114" t="s">
        <v>1134</v>
      </c>
      <c r="I862" s="112">
        <f t="shared" si="212"/>
        <v>3</v>
      </c>
      <c r="J862" s="112">
        <f t="shared" si="213"/>
        <v>1</v>
      </c>
      <c r="K862" s="115" t="s">
        <v>2650</v>
      </c>
      <c r="L862" s="115" t="s">
        <v>3277</v>
      </c>
      <c r="M862" s="115" t="s">
        <v>3253</v>
      </c>
      <c r="N862" s="115">
        <v>35000</v>
      </c>
      <c r="O862" s="112">
        <v>2</v>
      </c>
      <c r="P862" s="116" t="s">
        <v>2663</v>
      </c>
      <c r="Q862" s="112" t="str">
        <f t="shared" si="208"/>
        <v/>
      </c>
      <c r="R862" s="112" t="str">
        <f t="shared" si="209"/>
        <v/>
      </c>
      <c r="S862" s="112" t="str">
        <f t="shared" si="214"/>
        <v/>
      </c>
      <c r="T862" s="112" t="str">
        <f t="shared" si="215"/>
        <v/>
      </c>
      <c r="U862" s="112" t="str">
        <f t="shared" si="216"/>
        <v/>
      </c>
      <c r="V862" s="112" t="str">
        <f t="shared" si="217"/>
        <v/>
      </c>
      <c r="W862" s="112" t="str">
        <f t="shared" si="218"/>
        <v/>
      </c>
      <c r="X862" s="112">
        <f t="shared" si="210"/>
        <v>1</v>
      </c>
      <c r="Y862" s="112" t="str">
        <f t="shared" si="211"/>
        <v/>
      </c>
      <c r="Z862" s="112">
        <f t="shared" si="219"/>
        <v>1</v>
      </c>
      <c r="AA862" s="112">
        <f t="shared" si="220"/>
        <v>0</v>
      </c>
      <c r="AB862" s="112">
        <f t="shared" si="221"/>
        <v>0</v>
      </c>
      <c r="AC862" s="112">
        <f t="shared" si="222"/>
        <v>4</v>
      </c>
      <c r="AD862" s="112">
        <f t="shared" si="223"/>
        <v>2</v>
      </c>
    </row>
    <row r="863" spans="1:30" x14ac:dyDescent="0.2">
      <c r="A863" s="112" t="str">
        <f>IF(SUM(Q863:R863)=1,1+MAX($A$1:A862),"")</f>
        <v/>
      </c>
      <c r="B863" s="112" t="str">
        <f>IF(SUM(X863:Y863)=1,1+MAX($B$1:B862),"")</f>
        <v/>
      </c>
      <c r="C863" s="112" t="str">
        <f>IF(SUM(Q863:R863,X863:Y863)=2,1+MAX($C$1:C862),"")</f>
        <v/>
      </c>
      <c r="D863" s="113">
        <v>11160</v>
      </c>
      <c r="E863" s="112">
        <v>1930</v>
      </c>
      <c r="F863" s="112" t="s">
        <v>3033</v>
      </c>
      <c r="G863" s="112">
        <v>3</v>
      </c>
      <c r="H863" s="114" t="s">
        <v>2711</v>
      </c>
      <c r="I863" s="112">
        <f t="shared" si="212"/>
        <v>0</v>
      </c>
      <c r="J863" s="112">
        <f t="shared" si="213"/>
        <v>4</v>
      </c>
      <c r="K863" s="115" t="s">
        <v>2540</v>
      </c>
      <c r="L863" s="115" t="s">
        <v>3277</v>
      </c>
      <c r="M863" s="115" t="s">
        <v>3278</v>
      </c>
      <c r="N863" s="115">
        <v>80000</v>
      </c>
      <c r="O863" s="112">
        <v>3</v>
      </c>
      <c r="P863" s="116" t="s">
        <v>2708</v>
      </c>
      <c r="Q863" s="112" t="str">
        <f t="shared" si="208"/>
        <v/>
      </c>
      <c r="R863" s="112" t="str">
        <f t="shared" si="209"/>
        <v/>
      </c>
      <c r="S863" s="112" t="str">
        <f t="shared" si="214"/>
        <v/>
      </c>
      <c r="T863" s="112" t="str">
        <f t="shared" si="215"/>
        <v/>
      </c>
      <c r="U863" s="112" t="str">
        <f t="shared" si="216"/>
        <v/>
      </c>
      <c r="V863" s="112" t="str">
        <f t="shared" si="217"/>
        <v/>
      </c>
      <c r="W863" s="112" t="str">
        <f t="shared" si="218"/>
        <v/>
      </c>
      <c r="X863" s="112" t="str">
        <f t="shared" si="210"/>
        <v/>
      </c>
      <c r="Y863" s="112" t="str">
        <f t="shared" si="211"/>
        <v/>
      </c>
      <c r="Z863" s="112" t="str">
        <f t="shared" si="219"/>
        <v/>
      </c>
      <c r="AA863" s="112" t="str">
        <f t="shared" si="220"/>
        <v/>
      </c>
      <c r="AB863" s="112" t="str">
        <f t="shared" si="221"/>
        <v/>
      </c>
      <c r="AC863" s="112" t="str">
        <f t="shared" si="222"/>
        <v/>
      </c>
      <c r="AD863" s="112" t="str">
        <f t="shared" si="223"/>
        <v/>
      </c>
    </row>
    <row r="864" spans="1:30" x14ac:dyDescent="0.2">
      <c r="A864" s="112" t="str">
        <f>IF(SUM(Q864:R864)=1,1+MAX($A$1:A863),"")</f>
        <v/>
      </c>
      <c r="B864" s="112" t="str">
        <f>IF(SUM(X864:Y864)=1,1+MAX($B$1:B863),"")</f>
        <v/>
      </c>
      <c r="C864" s="112" t="str">
        <f>IF(SUM(Q864:R864,X864:Y864)=2,1+MAX($C$1:C863),"")</f>
        <v/>
      </c>
      <c r="D864" s="113">
        <v>11159</v>
      </c>
      <c r="E864" s="112">
        <v>1930</v>
      </c>
      <c r="F864" s="112" t="s">
        <v>3020</v>
      </c>
      <c r="G864" s="112">
        <v>4</v>
      </c>
      <c r="H864" s="114" t="s">
        <v>2554</v>
      </c>
      <c r="I864" s="112">
        <f t="shared" si="212"/>
        <v>0</v>
      </c>
      <c r="J864" s="112">
        <f t="shared" si="213"/>
        <v>1</v>
      </c>
      <c r="K864" s="115" t="s">
        <v>2709</v>
      </c>
      <c r="L864" s="115" t="s">
        <v>3277</v>
      </c>
      <c r="M864" s="115" t="s">
        <v>3279</v>
      </c>
      <c r="N864" s="115">
        <v>900</v>
      </c>
      <c r="O864" s="112">
        <v>3</v>
      </c>
      <c r="P864" s="116" t="s">
        <v>2601</v>
      </c>
      <c r="Q864" s="112" t="str">
        <f t="shared" si="208"/>
        <v/>
      </c>
      <c r="R864" s="112" t="str">
        <f t="shared" si="209"/>
        <v/>
      </c>
      <c r="S864" s="112" t="str">
        <f t="shared" si="214"/>
        <v/>
      </c>
      <c r="T864" s="112" t="str">
        <f t="shared" si="215"/>
        <v/>
      </c>
      <c r="U864" s="112" t="str">
        <f t="shared" si="216"/>
        <v/>
      </c>
      <c r="V864" s="112" t="str">
        <f t="shared" si="217"/>
        <v/>
      </c>
      <c r="W864" s="112" t="str">
        <f t="shared" si="218"/>
        <v/>
      </c>
      <c r="X864" s="112" t="str">
        <f t="shared" si="210"/>
        <v/>
      </c>
      <c r="Y864" s="112" t="str">
        <f t="shared" si="211"/>
        <v/>
      </c>
      <c r="Z864" s="112" t="str">
        <f t="shared" si="219"/>
        <v/>
      </c>
      <c r="AA864" s="112" t="str">
        <f t="shared" si="220"/>
        <v/>
      </c>
      <c r="AB864" s="112" t="str">
        <f t="shared" si="221"/>
        <v/>
      </c>
      <c r="AC864" s="112" t="str">
        <f t="shared" si="222"/>
        <v/>
      </c>
      <c r="AD864" s="112" t="str">
        <f t="shared" si="223"/>
        <v/>
      </c>
    </row>
    <row r="865" spans="1:30" x14ac:dyDescent="0.2">
      <c r="A865" s="112" t="str">
        <f>IF(SUM(Q865:R865)=1,1+MAX($A$1:A864),"")</f>
        <v/>
      </c>
      <c r="B865" s="112" t="str">
        <f>IF(SUM(X865:Y865)=1,1+MAX($B$1:B864),"")</f>
        <v/>
      </c>
      <c r="C865" s="112" t="str">
        <f>IF(SUM(Q865:R865,X865:Y865)=2,1+MAX($C$1:C864),"")</f>
        <v/>
      </c>
      <c r="D865" s="113">
        <v>11159</v>
      </c>
      <c r="E865" s="112">
        <v>1930</v>
      </c>
      <c r="F865" s="112" t="s">
        <v>3024</v>
      </c>
      <c r="G865" s="112">
        <v>2</v>
      </c>
      <c r="H865" s="114" t="s">
        <v>2634</v>
      </c>
      <c r="I865" s="112">
        <f t="shared" si="212"/>
        <v>0</v>
      </c>
      <c r="J865" s="112">
        <f t="shared" si="213"/>
        <v>4</v>
      </c>
      <c r="K865" s="115" t="s">
        <v>1442</v>
      </c>
      <c r="L865" s="115" t="s">
        <v>3277</v>
      </c>
      <c r="M865" s="115" t="s">
        <v>3280</v>
      </c>
      <c r="N865" s="115">
        <v>1200</v>
      </c>
      <c r="O865" s="112">
        <v>2</v>
      </c>
      <c r="P865" s="116" t="s">
        <v>2708</v>
      </c>
      <c r="Q865" s="112" t="str">
        <f t="shared" si="208"/>
        <v/>
      </c>
      <c r="R865" s="112" t="str">
        <f t="shared" si="209"/>
        <v/>
      </c>
      <c r="S865" s="112" t="str">
        <f t="shared" si="214"/>
        <v/>
      </c>
      <c r="T865" s="112" t="str">
        <f t="shared" si="215"/>
        <v/>
      </c>
      <c r="U865" s="112" t="str">
        <f t="shared" si="216"/>
        <v/>
      </c>
      <c r="V865" s="112" t="str">
        <f t="shared" si="217"/>
        <v/>
      </c>
      <c r="W865" s="112" t="str">
        <f t="shared" si="218"/>
        <v/>
      </c>
      <c r="X865" s="112" t="str">
        <f t="shared" si="210"/>
        <v/>
      </c>
      <c r="Y865" s="112" t="str">
        <f t="shared" si="211"/>
        <v/>
      </c>
      <c r="Z865" s="112" t="str">
        <f t="shared" si="219"/>
        <v/>
      </c>
      <c r="AA865" s="112" t="str">
        <f t="shared" si="220"/>
        <v/>
      </c>
      <c r="AB865" s="112" t="str">
        <f t="shared" si="221"/>
        <v/>
      </c>
      <c r="AC865" s="112" t="str">
        <f t="shared" si="222"/>
        <v/>
      </c>
      <c r="AD865" s="112" t="str">
        <f t="shared" si="223"/>
        <v/>
      </c>
    </row>
    <row r="866" spans="1:30" x14ac:dyDescent="0.2">
      <c r="A866" s="112" t="str">
        <f>IF(SUM(Q866:R866)=1,1+MAX($A$1:A865),"")</f>
        <v/>
      </c>
      <c r="B866" s="112">
        <f>IF(SUM(X866:Y866)=1,1+MAX($B$1:B865),"")</f>
        <v>82</v>
      </c>
      <c r="C866" s="112" t="str">
        <f>IF(SUM(Q866:R866,X866:Y866)=2,1+MAX($C$1:C865),"")</f>
        <v/>
      </c>
      <c r="D866" s="113">
        <v>11158</v>
      </c>
      <c r="E866" s="112">
        <v>1930</v>
      </c>
      <c r="F866" s="112" t="s">
        <v>3035</v>
      </c>
      <c r="G866" s="112">
        <v>1</v>
      </c>
      <c r="H866" s="114" t="s">
        <v>1134</v>
      </c>
      <c r="I866" s="112">
        <f t="shared" si="212"/>
        <v>6</v>
      </c>
      <c r="J866" s="112">
        <f t="shared" si="213"/>
        <v>3</v>
      </c>
      <c r="K866" s="115" t="s">
        <v>1061</v>
      </c>
      <c r="L866" s="115" t="s">
        <v>3277</v>
      </c>
      <c r="M866" s="115" t="s">
        <v>3281</v>
      </c>
      <c r="N866" s="115">
        <v>50000</v>
      </c>
      <c r="O866" s="112">
        <v>2</v>
      </c>
      <c r="P866" s="116" t="s">
        <v>3171</v>
      </c>
      <c r="Q866" s="112" t="str">
        <f t="shared" si="208"/>
        <v/>
      </c>
      <c r="R866" s="112" t="str">
        <f t="shared" si="209"/>
        <v/>
      </c>
      <c r="S866" s="112" t="str">
        <f t="shared" si="214"/>
        <v/>
      </c>
      <c r="T866" s="112" t="str">
        <f t="shared" si="215"/>
        <v/>
      </c>
      <c r="U866" s="112" t="str">
        <f t="shared" si="216"/>
        <v/>
      </c>
      <c r="V866" s="112" t="str">
        <f t="shared" si="217"/>
        <v/>
      </c>
      <c r="W866" s="112" t="str">
        <f t="shared" si="218"/>
        <v/>
      </c>
      <c r="X866" s="112">
        <f t="shared" si="210"/>
        <v>1</v>
      </c>
      <c r="Y866" s="112" t="str">
        <f t="shared" si="211"/>
        <v/>
      </c>
      <c r="Z866" s="112">
        <f t="shared" si="219"/>
        <v>1</v>
      </c>
      <c r="AA866" s="112">
        <f t="shared" si="220"/>
        <v>0</v>
      </c>
      <c r="AB866" s="112">
        <f t="shared" si="221"/>
        <v>0</v>
      </c>
      <c r="AC866" s="112">
        <f t="shared" si="222"/>
        <v>9</v>
      </c>
      <c r="AD866" s="112">
        <f t="shared" si="223"/>
        <v>3</v>
      </c>
    </row>
    <row r="867" spans="1:30" x14ac:dyDescent="0.2">
      <c r="A867" s="112" t="str">
        <f>IF(SUM(Q867:R867)=1,1+MAX($A$1:A866),"")</f>
        <v/>
      </c>
      <c r="B867" s="112" t="str">
        <f>IF(SUM(X867:Y867)=1,1+MAX($B$1:B866),"")</f>
        <v/>
      </c>
      <c r="C867" s="112" t="str">
        <f>IF(SUM(Q867:R867,X867:Y867)=2,1+MAX($C$1:C866),"")</f>
        <v/>
      </c>
      <c r="D867" s="113">
        <v>11158</v>
      </c>
      <c r="E867" s="112">
        <v>1930</v>
      </c>
      <c r="F867" s="112" t="s">
        <v>3035</v>
      </c>
      <c r="G867" s="112">
        <v>1</v>
      </c>
      <c r="H867" s="114" t="s">
        <v>2650</v>
      </c>
      <c r="I867" s="112">
        <f t="shared" si="212"/>
        <v>1</v>
      </c>
      <c r="J867" s="112">
        <f t="shared" si="213"/>
        <v>0</v>
      </c>
      <c r="K867" s="115" t="s">
        <v>2541</v>
      </c>
      <c r="L867" s="115" t="s">
        <v>3277</v>
      </c>
      <c r="M867" s="115" t="s">
        <v>3282</v>
      </c>
      <c r="N867" s="115">
        <v>50000</v>
      </c>
      <c r="O867" s="112">
        <v>2</v>
      </c>
      <c r="P867" s="116" t="s">
        <v>2622</v>
      </c>
      <c r="Q867" s="112" t="str">
        <f t="shared" si="208"/>
        <v/>
      </c>
      <c r="R867" s="112" t="str">
        <f t="shared" si="209"/>
        <v/>
      </c>
      <c r="S867" s="112" t="str">
        <f t="shared" si="214"/>
        <v/>
      </c>
      <c r="T867" s="112" t="str">
        <f t="shared" si="215"/>
        <v/>
      </c>
      <c r="U867" s="112" t="str">
        <f t="shared" si="216"/>
        <v/>
      </c>
      <c r="V867" s="112" t="str">
        <f t="shared" si="217"/>
        <v/>
      </c>
      <c r="W867" s="112" t="str">
        <f t="shared" si="218"/>
        <v/>
      </c>
      <c r="X867" s="112" t="str">
        <f t="shared" si="210"/>
        <v/>
      </c>
      <c r="Y867" s="112" t="str">
        <f t="shared" si="211"/>
        <v/>
      </c>
      <c r="Z867" s="112" t="str">
        <f t="shared" si="219"/>
        <v/>
      </c>
      <c r="AA867" s="112" t="str">
        <f t="shared" si="220"/>
        <v/>
      </c>
      <c r="AB867" s="112" t="str">
        <f t="shared" si="221"/>
        <v/>
      </c>
      <c r="AC867" s="112" t="str">
        <f t="shared" si="222"/>
        <v/>
      </c>
      <c r="AD867" s="112" t="str">
        <f t="shared" si="223"/>
        <v/>
      </c>
    </row>
    <row r="868" spans="1:30" x14ac:dyDescent="0.2">
      <c r="A868" s="112" t="str">
        <f>IF(SUM(Q868:R868)=1,1+MAX($A$1:A867),"")</f>
        <v/>
      </c>
      <c r="B868" s="112" t="str">
        <f>IF(SUM(X868:Y868)=1,1+MAX($B$1:B867),"")</f>
        <v/>
      </c>
      <c r="C868" s="112" t="str">
        <f>IF(SUM(Q868:R868,X868:Y868)=2,1+MAX($C$1:C867),"")</f>
        <v/>
      </c>
      <c r="D868" s="113">
        <v>11157</v>
      </c>
      <c r="E868" s="112">
        <v>1930</v>
      </c>
      <c r="F868" s="112" t="s">
        <v>3033</v>
      </c>
      <c r="G868" s="112">
        <v>3</v>
      </c>
      <c r="H868" s="114" t="s">
        <v>2134</v>
      </c>
      <c r="I868" s="112">
        <f t="shared" si="212"/>
        <v>0</v>
      </c>
      <c r="J868" s="112">
        <f t="shared" si="213"/>
        <v>1</v>
      </c>
      <c r="K868" s="115" t="s">
        <v>2540</v>
      </c>
      <c r="L868" s="115" t="s">
        <v>3277</v>
      </c>
      <c r="M868" s="115" t="s">
        <v>3253</v>
      </c>
      <c r="N868" s="115">
        <v>70000</v>
      </c>
      <c r="O868" s="112">
        <v>3</v>
      </c>
      <c r="P868" s="116" t="s">
        <v>2601</v>
      </c>
      <c r="Q868" s="112" t="str">
        <f t="shared" si="208"/>
        <v/>
      </c>
      <c r="R868" s="112" t="str">
        <f t="shared" si="209"/>
        <v/>
      </c>
      <c r="S868" s="112" t="str">
        <f t="shared" si="214"/>
        <v/>
      </c>
      <c r="T868" s="112" t="str">
        <f t="shared" si="215"/>
        <v/>
      </c>
      <c r="U868" s="112" t="str">
        <f t="shared" si="216"/>
        <v/>
      </c>
      <c r="V868" s="112" t="str">
        <f t="shared" si="217"/>
        <v/>
      </c>
      <c r="W868" s="112" t="str">
        <f t="shared" si="218"/>
        <v/>
      </c>
      <c r="X868" s="112" t="str">
        <f t="shared" si="210"/>
        <v/>
      </c>
      <c r="Y868" s="112" t="str">
        <f t="shared" si="211"/>
        <v/>
      </c>
      <c r="Z868" s="112" t="str">
        <f t="shared" si="219"/>
        <v/>
      </c>
      <c r="AA868" s="112" t="str">
        <f t="shared" si="220"/>
        <v/>
      </c>
      <c r="AB868" s="112" t="str">
        <f t="shared" si="221"/>
        <v/>
      </c>
      <c r="AC868" s="112" t="str">
        <f t="shared" si="222"/>
        <v/>
      </c>
      <c r="AD868" s="112" t="str">
        <f t="shared" si="223"/>
        <v/>
      </c>
    </row>
    <row r="869" spans="1:30" x14ac:dyDescent="0.2">
      <c r="A869" s="112" t="str">
        <f>IF(SUM(Q869:R869)=1,1+MAX($A$1:A868),"")</f>
        <v/>
      </c>
      <c r="B869" s="112" t="str">
        <f>IF(SUM(X869:Y869)=1,1+MAX($B$1:B868),"")</f>
        <v/>
      </c>
      <c r="C869" s="112" t="str">
        <f>IF(SUM(Q869:R869,X869:Y869)=2,1+MAX($C$1:C868),"")</f>
        <v/>
      </c>
      <c r="D869" s="113">
        <v>11156</v>
      </c>
      <c r="E869" s="112">
        <v>1930</v>
      </c>
      <c r="F869" s="112" t="s">
        <v>3020</v>
      </c>
      <c r="G869" s="112">
        <v>4</v>
      </c>
      <c r="H869" s="114" t="s">
        <v>2709</v>
      </c>
      <c r="I869" s="112">
        <f t="shared" si="212"/>
        <v>0</v>
      </c>
      <c r="J869" s="112">
        <f t="shared" si="213"/>
        <v>3</v>
      </c>
      <c r="K869" s="115" t="s">
        <v>2614</v>
      </c>
      <c r="L869" s="115" t="s">
        <v>3283</v>
      </c>
      <c r="M869" s="115" t="s">
        <v>3284</v>
      </c>
      <c r="N869" s="115">
        <v>800</v>
      </c>
      <c r="O869" s="112">
        <v>3</v>
      </c>
      <c r="P869" s="116" t="s">
        <v>2607</v>
      </c>
      <c r="Q869" s="112" t="str">
        <f t="shared" si="208"/>
        <v/>
      </c>
      <c r="R869" s="112" t="str">
        <f t="shared" si="209"/>
        <v/>
      </c>
      <c r="S869" s="112" t="str">
        <f t="shared" si="214"/>
        <v/>
      </c>
      <c r="T869" s="112" t="str">
        <f t="shared" si="215"/>
        <v/>
      </c>
      <c r="U869" s="112" t="str">
        <f t="shared" si="216"/>
        <v/>
      </c>
      <c r="V869" s="112" t="str">
        <f t="shared" si="217"/>
        <v/>
      </c>
      <c r="W869" s="112" t="str">
        <f t="shared" si="218"/>
        <v/>
      </c>
      <c r="X869" s="112" t="str">
        <f t="shared" si="210"/>
        <v/>
      </c>
      <c r="Y869" s="112" t="str">
        <f t="shared" si="211"/>
        <v/>
      </c>
      <c r="Z869" s="112" t="str">
        <f t="shared" si="219"/>
        <v/>
      </c>
      <c r="AA869" s="112" t="str">
        <f t="shared" si="220"/>
        <v/>
      </c>
      <c r="AB869" s="112" t="str">
        <f t="shared" si="221"/>
        <v/>
      </c>
      <c r="AC869" s="112" t="str">
        <f t="shared" si="222"/>
        <v/>
      </c>
      <c r="AD869" s="112" t="str">
        <f t="shared" si="223"/>
        <v/>
      </c>
    </row>
    <row r="870" spans="1:30" x14ac:dyDescent="0.2">
      <c r="A870" s="112" t="str">
        <f>IF(SUM(Q870:R870)=1,1+MAX($A$1:A869),"")</f>
        <v/>
      </c>
      <c r="B870" s="112" t="str">
        <f>IF(SUM(X870:Y870)=1,1+MAX($B$1:B869),"")</f>
        <v/>
      </c>
      <c r="C870" s="112" t="str">
        <f>IF(SUM(Q870:R870,X870:Y870)=2,1+MAX($C$1:C869),"")</f>
        <v/>
      </c>
      <c r="D870" s="113">
        <v>11156</v>
      </c>
      <c r="E870" s="112">
        <v>1930</v>
      </c>
      <c r="F870" s="112" t="s">
        <v>3024</v>
      </c>
      <c r="G870" s="112">
        <v>2</v>
      </c>
      <c r="H870" s="114" t="s">
        <v>2634</v>
      </c>
      <c r="I870" s="112">
        <f t="shared" si="212"/>
        <v>0</v>
      </c>
      <c r="J870" s="112">
        <f t="shared" si="213"/>
        <v>4</v>
      </c>
      <c r="K870" s="115" t="s">
        <v>2862</v>
      </c>
      <c r="L870" s="115" t="s">
        <v>3283</v>
      </c>
      <c r="M870" s="115" t="s">
        <v>3285</v>
      </c>
      <c r="N870" s="115">
        <v>800</v>
      </c>
      <c r="O870" s="112">
        <v>2</v>
      </c>
      <c r="P870" s="116" t="s">
        <v>2708</v>
      </c>
      <c r="Q870" s="112" t="str">
        <f t="shared" si="208"/>
        <v/>
      </c>
      <c r="R870" s="112" t="str">
        <f t="shared" si="209"/>
        <v/>
      </c>
      <c r="S870" s="112" t="str">
        <f t="shared" si="214"/>
        <v/>
      </c>
      <c r="T870" s="112" t="str">
        <f t="shared" si="215"/>
        <v/>
      </c>
      <c r="U870" s="112" t="str">
        <f t="shared" si="216"/>
        <v/>
      </c>
      <c r="V870" s="112" t="str">
        <f t="shared" si="217"/>
        <v/>
      </c>
      <c r="W870" s="112" t="str">
        <f t="shared" si="218"/>
        <v/>
      </c>
      <c r="X870" s="112" t="str">
        <f t="shared" si="210"/>
        <v/>
      </c>
      <c r="Y870" s="112" t="str">
        <f t="shared" si="211"/>
        <v/>
      </c>
      <c r="Z870" s="112" t="str">
        <f t="shared" si="219"/>
        <v/>
      </c>
      <c r="AA870" s="112" t="str">
        <f t="shared" si="220"/>
        <v/>
      </c>
      <c r="AB870" s="112" t="str">
        <f t="shared" si="221"/>
        <v/>
      </c>
      <c r="AC870" s="112" t="str">
        <f t="shared" si="222"/>
        <v/>
      </c>
      <c r="AD870" s="112" t="str">
        <f t="shared" si="223"/>
        <v/>
      </c>
    </row>
    <row r="871" spans="1:30" x14ac:dyDescent="0.2">
      <c r="A871" s="112" t="str">
        <f>IF(SUM(Q871:R871)=1,1+MAX($A$1:A870),"")</f>
        <v/>
      </c>
      <c r="B871" s="112" t="str">
        <f>IF(SUM(X871:Y871)=1,1+MAX($B$1:B870),"")</f>
        <v/>
      </c>
      <c r="C871" s="112" t="str">
        <f>IF(SUM(Q871:R871,X871:Y871)=2,1+MAX($C$1:C870),"")</f>
        <v/>
      </c>
      <c r="D871" s="113">
        <v>11155</v>
      </c>
      <c r="E871" s="112">
        <v>1930</v>
      </c>
      <c r="F871" s="112" t="s">
        <v>3035</v>
      </c>
      <c r="G871" s="112">
        <v>1</v>
      </c>
      <c r="H871" s="114" t="s">
        <v>2650</v>
      </c>
      <c r="I871" s="112">
        <f t="shared" si="212"/>
        <v>3</v>
      </c>
      <c r="J871" s="112">
        <f t="shared" si="213"/>
        <v>0</v>
      </c>
      <c r="K871" s="115" t="s">
        <v>1061</v>
      </c>
      <c r="L871" s="115" t="s">
        <v>3283</v>
      </c>
      <c r="M871" s="115" t="s">
        <v>3286</v>
      </c>
      <c r="N871" s="115">
        <v>7000</v>
      </c>
      <c r="O871" s="112">
        <v>2</v>
      </c>
      <c r="P871" s="116" t="s">
        <v>2713</v>
      </c>
      <c r="Q871" s="112" t="str">
        <f t="shared" si="208"/>
        <v/>
      </c>
      <c r="R871" s="112" t="str">
        <f t="shared" si="209"/>
        <v/>
      </c>
      <c r="S871" s="112" t="str">
        <f t="shared" si="214"/>
        <v/>
      </c>
      <c r="T871" s="112" t="str">
        <f t="shared" si="215"/>
        <v/>
      </c>
      <c r="U871" s="112" t="str">
        <f t="shared" si="216"/>
        <v/>
      </c>
      <c r="V871" s="112" t="str">
        <f t="shared" si="217"/>
        <v/>
      </c>
      <c r="W871" s="112" t="str">
        <f t="shared" si="218"/>
        <v/>
      </c>
      <c r="X871" s="112" t="str">
        <f t="shared" si="210"/>
        <v/>
      </c>
      <c r="Y871" s="112" t="str">
        <f t="shared" si="211"/>
        <v/>
      </c>
      <c r="Z871" s="112" t="str">
        <f t="shared" si="219"/>
        <v/>
      </c>
      <c r="AA871" s="112" t="str">
        <f t="shared" si="220"/>
        <v/>
      </c>
      <c r="AB871" s="112" t="str">
        <f t="shared" si="221"/>
        <v/>
      </c>
      <c r="AC871" s="112" t="str">
        <f t="shared" si="222"/>
        <v/>
      </c>
      <c r="AD871" s="112" t="str">
        <f t="shared" si="223"/>
        <v/>
      </c>
    </row>
    <row r="872" spans="1:30" x14ac:dyDescent="0.2">
      <c r="A872" s="112" t="str">
        <f>IF(SUM(Q872:R872)=1,1+MAX($A$1:A871),"")</f>
        <v/>
      </c>
      <c r="B872" s="112">
        <f>IF(SUM(X872:Y872)=1,1+MAX($B$1:B871),"")</f>
        <v>83</v>
      </c>
      <c r="C872" s="112" t="str">
        <f>IF(SUM(Q872:R872,X872:Y872)=2,1+MAX($C$1:C871),"")</f>
        <v/>
      </c>
      <c r="D872" s="113">
        <v>11154</v>
      </c>
      <c r="E872" s="112">
        <v>1930</v>
      </c>
      <c r="F872" s="112" t="s">
        <v>3035</v>
      </c>
      <c r="G872" s="112">
        <v>1</v>
      </c>
      <c r="H872" s="114" t="s">
        <v>1134</v>
      </c>
      <c r="I872" s="112">
        <f t="shared" si="212"/>
        <v>1</v>
      </c>
      <c r="J872" s="112">
        <f t="shared" si="213"/>
        <v>0</v>
      </c>
      <c r="K872" s="115" t="s">
        <v>2541</v>
      </c>
      <c r="L872" s="115" t="s">
        <v>3283</v>
      </c>
      <c r="M872" s="115" t="s">
        <v>3278</v>
      </c>
      <c r="N872" s="115">
        <v>18000</v>
      </c>
      <c r="O872" s="112">
        <v>2</v>
      </c>
      <c r="P872" s="116" t="s">
        <v>2622</v>
      </c>
      <c r="Q872" s="112" t="str">
        <f t="shared" si="208"/>
        <v/>
      </c>
      <c r="R872" s="112" t="str">
        <f t="shared" si="209"/>
        <v/>
      </c>
      <c r="S872" s="112" t="str">
        <f t="shared" si="214"/>
        <v/>
      </c>
      <c r="T872" s="112" t="str">
        <f t="shared" si="215"/>
        <v/>
      </c>
      <c r="U872" s="112" t="str">
        <f t="shared" si="216"/>
        <v/>
      </c>
      <c r="V872" s="112" t="str">
        <f t="shared" si="217"/>
        <v/>
      </c>
      <c r="W872" s="112" t="str">
        <f t="shared" si="218"/>
        <v/>
      </c>
      <c r="X872" s="112">
        <f t="shared" si="210"/>
        <v>1</v>
      </c>
      <c r="Y872" s="112" t="str">
        <f t="shared" si="211"/>
        <v/>
      </c>
      <c r="Z872" s="112">
        <f t="shared" si="219"/>
        <v>1</v>
      </c>
      <c r="AA872" s="112">
        <f t="shared" si="220"/>
        <v>0</v>
      </c>
      <c r="AB872" s="112">
        <f t="shared" si="221"/>
        <v>0</v>
      </c>
      <c r="AC872" s="112">
        <f t="shared" si="222"/>
        <v>1</v>
      </c>
      <c r="AD872" s="112">
        <f t="shared" si="223"/>
        <v>1</v>
      </c>
    </row>
    <row r="873" spans="1:30" x14ac:dyDescent="0.2">
      <c r="A873" s="112" t="str">
        <f>IF(SUM(Q873:R873)=1,1+MAX($A$1:A872),"")</f>
        <v/>
      </c>
      <c r="B873" s="112" t="str">
        <f>IF(SUM(X873:Y873)=1,1+MAX($B$1:B872),"")</f>
        <v/>
      </c>
      <c r="C873" s="112" t="str">
        <f>IF(SUM(Q873:R873,X873:Y873)=2,1+MAX($C$1:C872),"")</f>
        <v/>
      </c>
      <c r="D873" s="113">
        <v>11153</v>
      </c>
      <c r="E873" s="112">
        <v>1930</v>
      </c>
      <c r="F873" s="112" t="s">
        <v>3033</v>
      </c>
      <c r="G873" s="112">
        <v>3</v>
      </c>
      <c r="H873" s="114" t="s">
        <v>2134</v>
      </c>
      <c r="I873" s="112">
        <f t="shared" si="212"/>
        <v>1</v>
      </c>
      <c r="J873" s="112">
        <f t="shared" si="213"/>
        <v>3</v>
      </c>
      <c r="K873" s="115" t="s">
        <v>2711</v>
      </c>
      <c r="L873" s="115" t="s">
        <v>3287</v>
      </c>
      <c r="M873" s="115" t="s">
        <v>3288</v>
      </c>
      <c r="N873" s="115">
        <v>300</v>
      </c>
      <c r="O873" s="112">
        <v>2</v>
      </c>
      <c r="P873" s="116" t="s">
        <v>2691</v>
      </c>
      <c r="Q873" s="112" t="str">
        <f t="shared" si="208"/>
        <v/>
      </c>
      <c r="R873" s="112" t="str">
        <f t="shared" si="209"/>
        <v/>
      </c>
      <c r="S873" s="112" t="str">
        <f t="shared" si="214"/>
        <v/>
      </c>
      <c r="T873" s="112" t="str">
        <f t="shared" si="215"/>
        <v/>
      </c>
      <c r="U873" s="112" t="str">
        <f t="shared" si="216"/>
        <v/>
      </c>
      <c r="V873" s="112" t="str">
        <f t="shared" si="217"/>
        <v/>
      </c>
      <c r="W873" s="112" t="str">
        <f t="shared" si="218"/>
        <v/>
      </c>
      <c r="X873" s="112" t="str">
        <f t="shared" si="210"/>
        <v/>
      </c>
      <c r="Y873" s="112" t="str">
        <f t="shared" si="211"/>
        <v/>
      </c>
      <c r="Z873" s="112" t="str">
        <f t="shared" si="219"/>
        <v/>
      </c>
      <c r="AA873" s="112" t="str">
        <f t="shared" si="220"/>
        <v/>
      </c>
      <c r="AB873" s="112" t="str">
        <f t="shared" si="221"/>
        <v/>
      </c>
      <c r="AC873" s="112" t="str">
        <f t="shared" si="222"/>
        <v/>
      </c>
      <c r="AD873" s="112" t="str">
        <f t="shared" si="223"/>
        <v/>
      </c>
    </row>
    <row r="874" spans="1:30" x14ac:dyDescent="0.2">
      <c r="A874" s="112" t="str">
        <f>IF(SUM(Q874:R874)=1,1+MAX($A$1:A873),"")</f>
        <v/>
      </c>
      <c r="B874" s="112" t="str">
        <f>IF(SUM(X874:Y874)=1,1+MAX($B$1:B873),"")</f>
        <v/>
      </c>
      <c r="C874" s="112" t="str">
        <f>IF(SUM(Q874:R874,X874:Y874)=2,1+MAX($C$1:C873),"")</f>
        <v/>
      </c>
      <c r="D874" s="113">
        <v>11153</v>
      </c>
      <c r="E874" s="112">
        <v>1930</v>
      </c>
      <c r="F874" s="112" t="s">
        <v>3024</v>
      </c>
      <c r="G874" s="112">
        <v>2</v>
      </c>
      <c r="H874" s="114" t="s">
        <v>1442</v>
      </c>
      <c r="I874" s="112">
        <f t="shared" si="212"/>
        <v>1</v>
      </c>
      <c r="J874" s="112">
        <f t="shared" si="213"/>
        <v>2</v>
      </c>
      <c r="K874" s="115" t="s">
        <v>2862</v>
      </c>
      <c r="L874" s="115" t="s">
        <v>3283</v>
      </c>
      <c r="M874" s="115" t="s">
        <v>3282</v>
      </c>
      <c r="N874" s="115">
        <v>5000</v>
      </c>
      <c r="O874" s="112">
        <v>2</v>
      </c>
      <c r="P874" s="116" t="s">
        <v>2638</v>
      </c>
      <c r="Q874" s="112" t="str">
        <f t="shared" si="208"/>
        <v/>
      </c>
      <c r="R874" s="112" t="str">
        <f t="shared" si="209"/>
        <v/>
      </c>
      <c r="S874" s="112" t="str">
        <f t="shared" si="214"/>
        <v/>
      </c>
      <c r="T874" s="112" t="str">
        <f t="shared" si="215"/>
        <v/>
      </c>
      <c r="U874" s="112" t="str">
        <f t="shared" si="216"/>
        <v/>
      </c>
      <c r="V874" s="112" t="str">
        <f t="shared" si="217"/>
        <v/>
      </c>
      <c r="W874" s="112" t="str">
        <f t="shared" si="218"/>
        <v/>
      </c>
      <c r="X874" s="112" t="str">
        <f t="shared" si="210"/>
        <v/>
      </c>
      <c r="Y874" s="112" t="str">
        <f t="shared" si="211"/>
        <v/>
      </c>
      <c r="Z874" s="112" t="str">
        <f t="shared" si="219"/>
        <v/>
      </c>
      <c r="AA874" s="112" t="str">
        <f t="shared" si="220"/>
        <v/>
      </c>
      <c r="AB874" s="112" t="str">
        <f t="shared" si="221"/>
        <v/>
      </c>
      <c r="AC874" s="112" t="str">
        <f t="shared" si="222"/>
        <v/>
      </c>
      <c r="AD874" s="112" t="str">
        <f t="shared" si="223"/>
        <v/>
      </c>
    </row>
    <row r="875" spans="1:30" x14ac:dyDescent="0.2">
      <c r="A875" s="112" t="str">
        <f>IF(SUM(Q875:R875)=1,1+MAX($A$1:A874),"")</f>
        <v/>
      </c>
      <c r="B875" s="112" t="str">
        <f>IF(SUM(X875:Y875)=1,1+MAX($B$1:B874),"")</f>
        <v/>
      </c>
      <c r="C875" s="112" t="str">
        <f>IF(SUM(Q875:R875,X875:Y875)=2,1+MAX($C$1:C874),"")</f>
        <v/>
      </c>
      <c r="D875" s="113">
        <v>11152</v>
      </c>
      <c r="E875" s="112">
        <v>1930</v>
      </c>
      <c r="F875" s="112" t="s">
        <v>3020</v>
      </c>
      <c r="G875" s="112">
        <v>4</v>
      </c>
      <c r="H875" s="114" t="s">
        <v>2554</v>
      </c>
      <c r="I875" s="112">
        <f t="shared" si="212"/>
        <v>0</v>
      </c>
      <c r="J875" s="112">
        <f t="shared" si="213"/>
        <v>3</v>
      </c>
      <c r="K875" s="115" t="s">
        <v>2614</v>
      </c>
      <c r="L875" s="115" t="s">
        <v>3283</v>
      </c>
      <c r="M875" s="115" t="s">
        <v>3289</v>
      </c>
      <c r="N875" s="115">
        <v>10000</v>
      </c>
      <c r="O875" s="112">
        <v>2</v>
      </c>
      <c r="P875" s="116" t="s">
        <v>2607</v>
      </c>
      <c r="Q875" s="112" t="str">
        <f t="shared" si="208"/>
        <v/>
      </c>
      <c r="R875" s="112" t="str">
        <f t="shared" si="209"/>
        <v/>
      </c>
      <c r="S875" s="112" t="str">
        <f t="shared" si="214"/>
        <v/>
      </c>
      <c r="T875" s="112" t="str">
        <f t="shared" si="215"/>
        <v/>
      </c>
      <c r="U875" s="112" t="str">
        <f t="shared" si="216"/>
        <v/>
      </c>
      <c r="V875" s="112" t="str">
        <f t="shared" si="217"/>
        <v/>
      </c>
      <c r="W875" s="112" t="str">
        <f t="shared" si="218"/>
        <v/>
      </c>
      <c r="X875" s="112" t="str">
        <f t="shared" si="210"/>
        <v/>
      </c>
      <c r="Y875" s="112" t="str">
        <f t="shared" si="211"/>
        <v/>
      </c>
      <c r="Z875" s="112" t="str">
        <f t="shared" si="219"/>
        <v/>
      </c>
      <c r="AA875" s="112" t="str">
        <f t="shared" si="220"/>
        <v/>
      </c>
      <c r="AB875" s="112" t="str">
        <f t="shared" si="221"/>
        <v/>
      </c>
      <c r="AC875" s="112" t="str">
        <f t="shared" si="222"/>
        <v/>
      </c>
      <c r="AD875" s="112" t="str">
        <f t="shared" si="223"/>
        <v/>
      </c>
    </row>
    <row r="876" spans="1:30" x14ac:dyDescent="0.2">
      <c r="A876" s="112" t="str">
        <f>IF(SUM(Q876:R876)=1,1+MAX($A$1:A875),"")</f>
        <v/>
      </c>
      <c r="B876" s="112" t="str">
        <f>IF(SUM(X876:Y876)=1,1+MAX($B$1:B875),"")</f>
        <v/>
      </c>
      <c r="C876" s="112" t="str">
        <f>IF(SUM(Q876:R876,X876:Y876)=2,1+MAX($C$1:C875),"")</f>
        <v/>
      </c>
      <c r="D876" s="113">
        <v>11152</v>
      </c>
      <c r="E876" s="112">
        <v>1930</v>
      </c>
      <c r="F876" s="112" t="s">
        <v>3035</v>
      </c>
      <c r="G876" s="112">
        <v>1</v>
      </c>
      <c r="H876" s="114" t="s">
        <v>2541</v>
      </c>
      <c r="I876" s="112">
        <f t="shared" si="212"/>
        <v>4</v>
      </c>
      <c r="J876" s="112">
        <f t="shared" si="213"/>
        <v>1</v>
      </c>
      <c r="K876" s="115" t="s">
        <v>1061</v>
      </c>
      <c r="L876" s="115" t="s">
        <v>3287</v>
      </c>
      <c r="M876" s="115" t="s">
        <v>3290</v>
      </c>
      <c r="N876" s="115">
        <v>3000</v>
      </c>
      <c r="O876" s="112">
        <v>2</v>
      </c>
      <c r="P876" s="116" t="s">
        <v>2683</v>
      </c>
      <c r="Q876" s="112" t="str">
        <f t="shared" si="208"/>
        <v/>
      </c>
      <c r="R876" s="112" t="str">
        <f t="shared" si="209"/>
        <v/>
      </c>
      <c r="S876" s="112" t="str">
        <f t="shared" si="214"/>
        <v/>
      </c>
      <c r="T876" s="112" t="str">
        <f t="shared" si="215"/>
        <v/>
      </c>
      <c r="U876" s="112" t="str">
        <f t="shared" si="216"/>
        <v/>
      </c>
      <c r="V876" s="112" t="str">
        <f t="shared" si="217"/>
        <v/>
      </c>
      <c r="W876" s="112" t="str">
        <f t="shared" si="218"/>
        <v/>
      </c>
      <c r="X876" s="112" t="str">
        <f t="shared" si="210"/>
        <v/>
      </c>
      <c r="Y876" s="112" t="str">
        <f t="shared" si="211"/>
        <v/>
      </c>
      <c r="Z876" s="112" t="str">
        <f t="shared" si="219"/>
        <v/>
      </c>
      <c r="AA876" s="112" t="str">
        <f t="shared" si="220"/>
        <v/>
      </c>
      <c r="AB876" s="112" t="str">
        <f t="shared" si="221"/>
        <v/>
      </c>
      <c r="AC876" s="112" t="str">
        <f t="shared" si="222"/>
        <v/>
      </c>
      <c r="AD876" s="112" t="str">
        <f t="shared" si="223"/>
        <v/>
      </c>
    </row>
  </sheetData>
  <sheetProtection algorithmName="SHA-512" hashValue="rwQOQMgc9RRbggiYTbEdS8VGHD1BHl7Yb4llrF8ucCdqKARYn1FaW28wbZd4+lFsCgewSBEumwpPpL4e0CPC+Q==" saltValue="cPME3Lj/P2vE+ysLjIRLBg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9"/>
  <sheetViews>
    <sheetView showGridLines="0" workbookViewId="0">
      <selection activeCell="C4" sqref="C4"/>
    </sheetView>
  </sheetViews>
  <sheetFormatPr defaultRowHeight="15" x14ac:dyDescent="0.25"/>
  <cols>
    <col min="1" max="1" width="1.140625" style="11" customWidth="1"/>
    <col min="2" max="2" width="18.85546875" style="11" bestFit="1" customWidth="1"/>
    <col min="3" max="3" width="20.28515625" style="11" customWidth="1"/>
    <col min="4" max="4" width="9.140625" style="11"/>
    <col min="5" max="5" width="1.140625" style="11" customWidth="1"/>
    <col min="6" max="6" width="9.140625" style="11"/>
    <col min="7" max="7" width="27.5703125" style="11" bestFit="1" customWidth="1"/>
    <col min="8" max="8" width="2.7109375" style="11" customWidth="1"/>
    <col min="9" max="9" width="1.140625" style="11" customWidth="1"/>
    <col min="10" max="16384" width="9.140625" style="11"/>
  </cols>
  <sheetData>
    <row r="1" spans="2:9" ht="7.5" customHeight="1" x14ac:dyDescent="0.25"/>
    <row r="2" spans="2:9" ht="16.5" thickBot="1" x14ac:dyDescent="0.3">
      <c r="B2" s="80" t="s">
        <v>2561</v>
      </c>
      <c r="C2" s="81"/>
      <c r="D2" s="82"/>
      <c r="F2" s="80" t="s">
        <v>2566</v>
      </c>
      <c r="G2" s="81"/>
      <c r="H2" s="82"/>
    </row>
    <row r="3" spans="2:9" ht="9" customHeight="1" x14ac:dyDescent="0.25">
      <c r="B3" s="83"/>
      <c r="C3" s="84"/>
      <c r="D3" s="85"/>
      <c r="F3" s="83"/>
      <c r="G3" s="84"/>
      <c r="H3" s="85"/>
    </row>
    <row r="4" spans="2:9" x14ac:dyDescent="0.25">
      <c r="B4" s="95" t="s">
        <v>2562</v>
      </c>
      <c r="C4" s="104" t="s">
        <v>42</v>
      </c>
      <c r="D4" s="85"/>
      <c r="F4" s="83"/>
      <c r="G4" s="86"/>
      <c r="H4" s="85"/>
    </row>
    <row r="5" spans="2:9" x14ac:dyDescent="0.25">
      <c r="B5" s="83"/>
      <c r="C5" s="84"/>
      <c r="D5" s="85"/>
      <c r="F5" s="87" t="s">
        <v>2567</v>
      </c>
      <c r="G5" s="88" t="s">
        <v>2529</v>
      </c>
      <c r="H5" s="85"/>
    </row>
    <row r="6" spans="2:9" x14ac:dyDescent="0.25">
      <c r="B6" s="95" t="s">
        <v>2563</v>
      </c>
      <c r="C6" s="104" t="s">
        <v>2152</v>
      </c>
      <c r="D6" s="85"/>
      <c r="F6" s="87" t="s">
        <v>2568</v>
      </c>
      <c r="G6" s="89" t="s">
        <v>2572</v>
      </c>
      <c r="H6" s="85"/>
    </row>
    <row r="7" spans="2:9" x14ac:dyDescent="0.25">
      <c r="B7" s="83"/>
      <c r="C7" s="84"/>
      <c r="D7" s="85"/>
      <c r="F7" s="87" t="s">
        <v>2569</v>
      </c>
      <c r="G7" s="89" t="s">
        <v>2573</v>
      </c>
      <c r="H7" s="85"/>
    </row>
    <row r="8" spans="2:9" x14ac:dyDescent="0.25">
      <c r="B8" s="95" t="s">
        <v>2099</v>
      </c>
      <c r="C8" s="104" t="s">
        <v>2119</v>
      </c>
      <c r="D8" s="85"/>
      <c r="F8" s="87" t="s">
        <v>2570</v>
      </c>
      <c r="G8" s="89" t="s">
        <v>2574</v>
      </c>
      <c r="H8" s="85"/>
    </row>
    <row r="9" spans="2:9" x14ac:dyDescent="0.25">
      <c r="B9" s="83"/>
      <c r="C9" s="84"/>
      <c r="D9" s="85"/>
      <c r="F9" s="87" t="s">
        <v>2571</v>
      </c>
      <c r="G9" s="90" t="s">
        <v>2575</v>
      </c>
      <c r="H9" s="85"/>
    </row>
    <row r="10" spans="2:9" x14ac:dyDescent="0.25">
      <c r="B10" s="95" t="s">
        <v>2564</v>
      </c>
      <c r="C10" s="104" t="s">
        <v>2101</v>
      </c>
      <c r="D10" s="85"/>
      <c r="F10" s="83"/>
      <c r="G10" s="91"/>
      <c r="H10" s="85"/>
    </row>
    <row r="11" spans="2:9" x14ac:dyDescent="0.25">
      <c r="B11" s="83"/>
      <c r="C11" s="84"/>
      <c r="D11" s="85"/>
      <c r="F11" s="92"/>
      <c r="G11" s="93"/>
      <c r="H11" s="94"/>
    </row>
    <row r="12" spans="2:9" x14ac:dyDescent="0.25">
      <c r="B12" s="95" t="s">
        <v>2565</v>
      </c>
      <c r="C12" s="104" t="s">
        <v>1134</v>
      </c>
      <c r="D12" s="85"/>
    </row>
    <row r="13" spans="2:9" ht="9" customHeight="1" x14ac:dyDescent="0.25">
      <c r="B13" s="92"/>
      <c r="C13" s="93"/>
      <c r="D13" s="94"/>
    </row>
    <row r="14" spans="2:9" ht="9" customHeight="1" x14ac:dyDescent="0.25"/>
    <row r="15" spans="2:9" ht="9" customHeight="1" x14ac:dyDescent="0.25">
      <c r="B15" s="96"/>
      <c r="C15" s="97"/>
      <c r="D15" s="98"/>
      <c r="F15" s="105" t="s">
        <v>2102</v>
      </c>
      <c r="G15" s="105">
        <f>IF(ISERROR(MATCH(C4,lang_list,0)),1,MATCH(C4,lang_list,0))</f>
        <v>43</v>
      </c>
      <c r="H15" s="105"/>
      <c r="I15" s="105" t="str">
        <f>IFERROR(VLOOKUP(C12,T,lang,FALSE),"")</f>
        <v>Argentina</v>
      </c>
    </row>
    <row r="16" spans="2:9" ht="16.5" thickBot="1" x14ac:dyDescent="0.3">
      <c r="B16" s="83"/>
      <c r="C16" s="99" t="s">
        <v>2575</v>
      </c>
      <c r="D16" s="85"/>
      <c r="F16" s="105" t="s">
        <v>2103</v>
      </c>
      <c r="G16" s="105">
        <f>TIME(VLOOKUP(C8,F18:G41,2,FALSE),VLOOKUP(C10,F43:G46,2,FALSE),0)+IF(C6="Yes",TIME(1,0,0),0)</f>
        <v>0.66666666666666663</v>
      </c>
      <c r="H16" s="105"/>
      <c r="I16" s="105"/>
    </row>
    <row r="17" spans="2:9" x14ac:dyDescent="0.25">
      <c r="B17" s="100" t="str">
        <f>VLOOKUP("Germany",T,lang,FALSE)</f>
        <v>Germaniya</v>
      </c>
      <c r="C17" s="101">
        <v>1602</v>
      </c>
      <c r="D17" s="85"/>
      <c r="F17" s="105"/>
      <c r="G17" s="105"/>
      <c r="H17" s="105"/>
      <c r="I17" s="105" t="s">
        <v>1134</v>
      </c>
    </row>
    <row r="18" spans="2:9" x14ac:dyDescent="0.25">
      <c r="B18" s="100" t="str">
        <f>VLOOKUP("Brazil",T,lang,FALSE)</f>
        <v>Braziliya</v>
      </c>
      <c r="C18" s="102">
        <v>1483</v>
      </c>
      <c r="D18" s="85"/>
      <c r="F18" s="105" t="s">
        <v>2104</v>
      </c>
      <c r="G18" s="105">
        <v>0</v>
      </c>
      <c r="H18" s="105"/>
      <c r="I18" s="105" t="s">
        <v>1313</v>
      </c>
    </row>
    <row r="19" spans="2:9" x14ac:dyDescent="0.25">
      <c r="B19" s="100" t="str">
        <f>VLOOKUP("Portugal",T,lang,FALSE)</f>
        <v>Portugaliya</v>
      </c>
      <c r="C19" s="102">
        <v>1358</v>
      </c>
      <c r="D19" s="85"/>
      <c r="F19" s="105" t="s">
        <v>2105</v>
      </c>
      <c r="G19" s="105">
        <v>1</v>
      </c>
      <c r="H19" s="105"/>
      <c r="I19" s="105" t="s">
        <v>1468</v>
      </c>
    </row>
    <row r="20" spans="2:9" x14ac:dyDescent="0.25">
      <c r="B20" s="100" t="str">
        <f>VLOOKUP("Argentina",T,lang,FALSE)</f>
        <v>Argentina</v>
      </c>
      <c r="C20" s="102">
        <v>1348</v>
      </c>
      <c r="D20" s="85"/>
      <c r="F20" s="105" t="s">
        <v>2106</v>
      </c>
      <c r="G20" s="105">
        <v>2</v>
      </c>
      <c r="H20" s="105"/>
      <c r="I20" s="105" t="s">
        <v>1438</v>
      </c>
    </row>
    <row r="21" spans="2:9" x14ac:dyDescent="0.25">
      <c r="B21" s="100" t="str">
        <f>VLOOKUP("Belgium",T,lang,FALSE)</f>
        <v>Belgiya</v>
      </c>
      <c r="C21" s="102">
        <v>1325</v>
      </c>
      <c r="D21" s="85"/>
      <c r="F21" s="105" t="s">
        <v>2107</v>
      </c>
      <c r="G21" s="105">
        <v>3</v>
      </c>
      <c r="H21" s="105"/>
      <c r="I21" s="105" t="s">
        <v>1343</v>
      </c>
    </row>
    <row r="22" spans="2:9" x14ac:dyDescent="0.25">
      <c r="B22" s="100" t="str">
        <f>VLOOKUP("Spain",T,lang,FALSE)</f>
        <v>Ispaniya</v>
      </c>
      <c r="C22" s="102">
        <v>1231</v>
      </c>
      <c r="D22" s="85"/>
      <c r="F22" s="105" t="s">
        <v>2108</v>
      </c>
      <c r="G22" s="105">
        <v>4</v>
      </c>
      <c r="H22" s="105"/>
      <c r="I22" s="105" t="s">
        <v>1369</v>
      </c>
    </row>
    <row r="23" spans="2:9" x14ac:dyDescent="0.25">
      <c r="B23" s="100" t="str">
        <f>VLOOKUP("Poland",T,lang,FALSE)</f>
        <v>Polsha</v>
      </c>
      <c r="C23" s="102">
        <v>1209</v>
      </c>
      <c r="D23" s="85"/>
      <c r="F23" s="105" t="s">
        <v>2109</v>
      </c>
      <c r="G23" s="105">
        <v>5</v>
      </c>
      <c r="H23" s="105"/>
      <c r="I23" s="105" t="s">
        <v>1020</v>
      </c>
    </row>
    <row r="24" spans="2:9" x14ac:dyDescent="0.25">
      <c r="B24" s="100" t="str">
        <f>VLOOKUP("Switzerland",T,lang,FALSE)</f>
        <v>Shveysariya</v>
      </c>
      <c r="C24" s="102">
        <v>1190</v>
      </c>
      <c r="D24" s="85"/>
      <c r="F24" s="105" t="s">
        <v>2110</v>
      </c>
      <c r="G24" s="105">
        <v>6</v>
      </c>
      <c r="H24" s="105"/>
      <c r="I24" s="105" t="s">
        <v>2135</v>
      </c>
    </row>
    <row r="25" spans="2:9" x14ac:dyDescent="0.25">
      <c r="B25" s="100" t="str">
        <f>VLOOKUP("France",T,lang,FALSE)</f>
        <v>Fransiya</v>
      </c>
      <c r="C25" s="102">
        <v>1183</v>
      </c>
      <c r="D25" s="85"/>
      <c r="F25" s="105" t="s">
        <v>2111</v>
      </c>
      <c r="G25" s="105">
        <v>7</v>
      </c>
      <c r="H25" s="105"/>
      <c r="I25" s="105" t="s">
        <v>2132</v>
      </c>
    </row>
    <row r="26" spans="2:9" x14ac:dyDescent="0.25">
      <c r="B26" s="100" t="str">
        <f>VLOOKUP("Peru",T,lang,FALSE)</f>
        <v>Peru</v>
      </c>
      <c r="C26" s="102">
        <v>1128</v>
      </c>
      <c r="D26" s="85"/>
      <c r="F26" s="105" t="s">
        <v>2112</v>
      </c>
      <c r="G26" s="105">
        <v>8</v>
      </c>
      <c r="H26" s="105"/>
      <c r="I26" s="105" t="s">
        <v>1215</v>
      </c>
    </row>
    <row r="27" spans="2:9" x14ac:dyDescent="0.25">
      <c r="B27" s="100" t="str">
        <f>VLOOKUP("Denmark",T,lang,FALSE)</f>
        <v>Daniya</v>
      </c>
      <c r="C27" s="102">
        <v>1099</v>
      </c>
      <c r="D27" s="85"/>
      <c r="F27" s="105" t="s">
        <v>2113</v>
      </c>
      <c r="G27" s="105">
        <v>9</v>
      </c>
      <c r="H27" s="105"/>
      <c r="I27" s="105" t="s">
        <v>1103</v>
      </c>
    </row>
    <row r="28" spans="2:9" x14ac:dyDescent="0.25">
      <c r="B28" s="100" t="str">
        <f>VLOOKUP("Colombia",T,lang,FALSE)</f>
        <v>Kolumbiya</v>
      </c>
      <c r="C28" s="102">
        <v>1078</v>
      </c>
      <c r="D28" s="85"/>
      <c r="F28" s="105" t="s">
        <v>2114</v>
      </c>
      <c r="G28" s="105">
        <v>10</v>
      </c>
      <c r="H28" s="105"/>
      <c r="I28" s="105" t="s">
        <v>1277</v>
      </c>
    </row>
    <row r="29" spans="2:9" x14ac:dyDescent="0.25">
      <c r="B29" s="100" t="str">
        <f>VLOOKUP("England",T,lang,FALSE)</f>
        <v>Angliya</v>
      </c>
      <c r="C29" s="102">
        <v>1047</v>
      </c>
      <c r="D29" s="85"/>
      <c r="F29" s="105" t="s">
        <v>2100</v>
      </c>
      <c r="G29" s="105">
        <v>11</v>
      </c>
      <c r="H29" s="105"/>
      <c r="I29" s="105" t="s">
        <v>2136</v>
      </c>
    </row>
    <row r="30" spans="2:9" x14ac:dyDescent="0.25">
      <c r="B30" s="100" t="str">
        <f>VLOOKUP("Mexico",T,lang,FALSE)</f>
        <v>Meksika</v>
      </c>
      <c r="C30" s="102">
        <v>1032</v>
      </c>
      <c r="D30" s="85"/>
      <c r="F30" s="105" t="s">
        <v>2115</v>
      </c>
      <c r="G30" s="105">
        <v>12</v>
      </c>
      <c r="H30" s="105"/>
      <c r="I30" s="105" t="s">
        <v>1420</v>
      </c>
    </row>
    <row r="31" spans="2:9" x14ac:dyDescent="0.25">
      <c r="B31" s="100" t="str">
        <f>VLOOKUP("Croatia",T,lang,FALSE)</f>
        <v>Xorvatiya</v>
      </c>
      <c r="C31" s="102">
        <v>1018</v>
      </c>
      <c r="D31" s="85"/>
      <c r="F31" s="105" t="s">
        <v>2116</v>
      </c>
      <c r="G31" s="105">
        <v>13</v>
      </c>
      <c r="H31" s="105"/>
      <c r="I31" s="105" t="s">
        <v>1391</v>
      </c>
    </row>
    <row r="32" spans="2:9" x14ac:dyDescent="0.25">
      <c r="B32" s="100" t="str">
        <f>VLOOKUP("Sweden",T,lang,FALSE)</f>
        <v>Shvetsiya</v>
      </c>
      <c r="C32" s="102">
        <v>998</v>
      </c>
      <c r="D32" s="85"/>
      <c r="F32" s="105" t="s">
        <v>2117</v>
      </c>
      <c r="G32" s="105">
        <v>14</v>
      </c>
      <c r="H32" s="105"/>
      <c r="I32" s="105" t="s">
        <v>1178</v>
      </c>
    </row>
    <row r="33" spans="2:9" x14ac:dyDescent="0.25">
      <c r="B33" s="100" t="str">
        <f>VLOOKUP("Uruguay",T,lang,FALSE)</f>
        <v>Urugvay</v>
      </c>
      <c r="C33" s="102">
        <v>924</v>
      </c>
      <c r="D33" s="85"/>
      <c r="F33" s="105" t="s">
        <v>2118</v>
      </c>
      <c r="G33" s="105">
        <v>15</v>
      </c>
      <c r="H33" s="105"/>
      <c r="I33" s="105" t="s">
        <v>1057</v>
      </c>
    </row>
    <row r="34" spans="2:9" x14ac:dyDescent="0.25">
      <c r="B34" s="100" t="str">
        <f>VLOOKUP("Iceland",T,lang,FALSE)</f>
        <v>Islandiya</v>
      </c>
      <c r="C34" s="102">
        <v>910</v>
      </c>
      <c r="D34" s="85"/>
      <c r="F34" s="105" t="s">
        <v>2119</v>
      </c>
      <c r="G34" s="105">
        <v>16</v>
      </c>
      <c r="H34" s="105"/>
      <c r="I34" s="105" t="s">
        <v>2133</v>
      </c>
    </row>
    <row r="35" spans="2:9" x14ac:dyDescent="0.25">
      <c r="B35" s="100" t="str">
        <f>VLOOKUP("Senegal",T,lang,FALSE)</f>
        <v>Senegal</v>
      </c>
      <c r="C35" s="102">
        <v>884</v>
      </c>
      <c r="D35" s="85"/>
      <c r="F35" s="105" t="s">
        <v>2120</v>
      </c>
      <c r="G35" s="105">
        <v>17</v>
      </c>
      <c r="H35" s="105"/>
      <c r="I35" s="105" t="s">
        <v>1155</v>
      </c>
    </row>
    <row r="36" spans="2:9" x14ac:dyDescent="0.25">
      <c r="B36" s="100" t="str">
        <f>VLOOKUP("Costa Rica",T,lang,FALSE)</f>
        <v>Kosta-Rika</v>
      </c>
      <c r="C36" s="102">
        <v>850</v>
      </c>
      <c r="D36" s="85"/>
      <c r="F36" s="105" t="s">
        <v>2121</v>
      </c>
      <c r="G36" s="105">
        <v>18</v>
      </c>
      <c r="H36" s="105"/>
      <c r="I36" s="105" t="s">
        <v>2139</v>
      </c>
    </row>
    <row r="37" spans="2:9" x14ac:dyDescent="0.25">
      <c r="B37" s="100" t="str">
        <f>VLOOKUP("Tunisia",T,lang,FALSE)</f>
        <v>Tunis</v>
      </c>
      <c r="C37" s="102">
        <v>838</v>
      </c>
      <c r="D37" s="85"/>
      <c r="F37" s="105" t="s">
        <v>2122</v>
      </c>
      <c r="G37" s="105">
        <v>19</v>
      </c>
      <c r="H37" s="105"/>
      <c r="I37" s="105" t="s">
        <v>2134</v>
      </c>
    </row>
    <row r="38" spans="2:9" x14ac:dyDescent="0.25">
      <c r="B38" s="100" t="str">
        <f>VLOOKUP("Egypt",T,lang,FALSE)</f>
        <v>Misr</v>
      </c>
      <c r="C38" s="102">
        <v>805</v>
      </c>
      <c r="D38" s="85"/>
      <c r="F38" s="105" t="s">
        <v>2123</v>
      </c>
      <c r="G38" s="105">
        <v>20</v>
      </c>
      <c r="H38" s="105"/>
      <c r="I38" s="105" t="s">
        <v>2141</v>
      </c>
    </row>
    <row r="39" spans="2:9" x14ac:dyDescent="0.25">
      <c r="B39" s="100" t="str">
        <f>VLOOKUP("Iran",T,lang,FALSE)</f>
        <v>Eron</v>
      </c>
      <c r="C39" s="102">
        <v>798</v>
      </c>
      <c r="D39" s="85"/>
      <c r="F39" s="105" t="s">
        <v>2124</v>
      </c>
      <c r="G39" s="105">
        <v>21</v>
      </c>
      <c r="H39" s="105"/>
      <c r="I39" s="105" t="s">
        <v>1498</v>
      </c>
    </row>
    <row r="40" spans="2:9" x14ac:dyDescent="0.25">
      <c r="B40" s="100" t="str">
        <f>VLOOKUP("Serbia",T,lang,FALSE)</f>
        <v>Serbiya</v>
      </c>
      <c r="C40" s="102">
        <v>756</v>
      </c>
      <c r="D40" s="85"/>
      <c r="F40" s="105" t="s">
        <v>2125</v>
      </c>
      <c r="G40" s="105">
        <v>22</v>
      </c>
      <c r="H40" s="105"/>
      <c r="I40" s="105" t="s">
        <v>1246</v>
      </c>
    </row>
    <row r="41" spans="2:9" x14ac:dyDescent="0.25">
      <c r="B41" s="100" t="str">
        <f>VLOOKUP("Australia",T,lang,FALSE)</f>
        <v>Avstraliya</v>
      </c>
      <c r="C41" s="102">
        <v>747</v>
      </c>
      <c r="D41" s="85"/>
      <c r="F41" s="105" t="s">
        <v>2126</v>
      </c>
      <c r="G41" s="105">
        <v>23</v>
      </c>
      <c r="H41" s="105"/>
      <c r="I41" s="105" t="s">
        <v>2131</v>
      </c>
    </row>
    <row r="42" spans="2:9" x14ac:dyDescent="0.25">
      <c r="B42" s="100" t="str">
        <f>VLOOKUP("Morocco",T,lang,FALSE)</f>
        <v>Marokash</v>
      </c>
      <c r="C42" s="102">
        <v>738</v>
      </c>
      <c r="D42" s="85"/>
      <c r="F42" s="105"/>
      <c r="G42" s="105"/>
      <c r="H42" s="105"/>
      <c r="I42" s="105" t="s">
        <v>2142</v>
      </c>
    </row>
    <row r="43" spans="2:9" x14ac:dyDescent="0.25">
      <c r="B43" s="100" t="str">
        <f>VLOOKUP("Nigeria",T,lang,FALSE)</f>
        <v>Nigeriya</v>
      </c>
      <c r="C43" s="102">
        <v>640</v>
      </c>
      <c r="D43" s="85"/>
      <c r="F43" s="105" t="s">
        <v>2101</v>
      </c>
      <c r="G43" s="105">
        <v>0</v>
      </c>
      <c r="H43" s="105"/>
      <c r="I43" s="105" t="s">
        <v>2137</v>
      </c>
    </row>
    <row r="44" spans="2:9" x14ac:dyDescent="0.25">
      <c r="B44" s="100" t="str">
        <f>VLOOKUP("Panama",T,lang,FALSE)</f>
        <v>Panama</v>
      </c>
      <c r="C44" s="102">
        <v>621</v>
      </c>
      <c r="D44" s="85"/>
      <c r="F44" s="105" t="s">
        <v>2127</v>
      </c>
      <c r="G44" s="105">
        <v>15</v>
      </c>
      <c r="H44" s="105"/>
      <c r="I44" s="105" t="s">
        <v>1523</v>
      </c>
    </row>
    <row r="45" spans="2:9" x14ac:dyDescent="0.25">
      <c r="B45" s="100" t="str">
        <f>VLOOKUP("Japan",T,lang,FALSE)</f>
        <v>Yaponiya</v>
      </c>
      <c r="C45" s="102">
        <v>600</v>
      </c>
      <c r="D45" s="85"/>
      <c r="F45" s="105" t="s">
        <v>2128</v>
      </c>
      <c r="G45" s="105">
        <v>30</v>
      </c>
      <c r="H45" s="105"/>
      <c r="I45" s="105" t="s">
        <v>2138</v>
      </c>
    </row>
    <row r="46" spans="2:9" x14ac:dyDescent="0.25">
      <c r="B46" s="100" t="str">
        <f>VLOOKUP("Korea Republic",T,lang,FALSE)</f>
        <v>Janubiy Koreya</v>
      </c>
      <c r="C46" s="102">
        <v>570</v>
      </c>
      <c r="D46" s="85"/>
      <c r="F46" s="105" t="s">
        <v>2129</v>
      </c>
      <c r="G46" s="105">
        <v>45</v>
      </c>
      <c r="H46" s="105"/>
      <c r="I46" s="105" t="s">
        <v>1559</v>
      </c>
    </row>
    <row r="47" spans="2:9" x14ac:dyDescent="0.25">
      <c r="B47" s="100" t="str">
        <f>VLOOKUP("Saudi Arabia",T,lang,FALSE)</f>
        <v>Saudiya Arabistoni</v>
      </c>
      <c r="C47" s="102">
        <v>543</v>
      </c>
      <c r="D47" s="85"/>
      <c r="F47" s="105"/>
      <c r="G47" s="105"/>
      <c r="H47" s="105"/>
      <c r="I47" s="105" t="s">
        <v>2140</v>
      </c>
    </row>
    <row r="48" spans="2:9" x14ac:dyDescent="0.25">
      <c r="B48" s="100" t="str">
        <f>VLOOKUP("Russia",T,lang,FALSE)</f>
        <v>Rossiya</v>
      </c>
      <c r="C48" s="103">
        <v>534</v>
      </c>
      <c r="D48" s="85"/>
      <c r="F48" s="105" t="s">
        <v>2130</v>
      </c>
      <c r="G48" s="105">
        <f>IF(G4="Type 2",0,1)</f>
        <v>1</v>
      </c>
      <c r="H48" s="105"/>
      <c r="I48" s="105" t="s">
        <v>1082</v>
      </c>
    </row>
    <row r="49" spans="2:4" x14ac:dyDescent="0.25">
      <c r="B49" s="92"/>
      <c r="C49" s="93"/>
      <c r="D49" s="94"/>
    </row>
  </sheetData>
  <sheetProtection algorithmName="SHA-512" hashValue="/JiruLub0Foy/YaZ+JpXy8lyrJWiumZaK/2OSXbVgg0BYODOnyMsNIzJha5EEEzheipdVOVSGGLF406QBT6KWw==" saltValue="nSl9cuhdj58FXobyq7zy2A==" spinCount="100000" sheet="1" objects="1" scenarios="1"/>
  <sortState ref="I17:I48">
    <sortCondition ref="I17:I48"/>
  </sortState>
  <dataValidations count="5">
    <dataValidation type="list" allowBlank="1" showInputMessage="1" showErrorMessage="1" promptTitle="Jadval tilini tanlang" prompt="Ro'yxatdan foydalaning" sqref="C4">
      <formula1>lang_list</formula1>
    </dataValidation>
    <dataValidation type="list" allowBlank="1" showInputMessage="1" showErrorMessage="1" promptTitle="Yozgi vaqtni tanlang" prompt="Ro'yxatdan foydalaning" sqref="C6">
      <formula1>"Yes,No"</formula1>
    </dataValidation>
    <dataValidation type="list" allowBlank="1" showInputMessage="1" showErrorMessage="1" promptTitle="GTM-vaqtni tanlang" prompt="Ro'yxatdan foydalaning" sqref="C8">
      <formula1>$F$18:$F$41</formula1>
    </dataValidation>
    <dataValidation type="list" allowBlank="1" showInputMessage="1" showErrorMessage="1" promptTitle="Minutlardagi farqni belgilang" prompt="Ro'yxatdan foydalaning" sqref="C10">
      <formula1>$F$43:$F$46</formula1>
    </dataValidation>
    <dataValidation type="list" allowBlank="1" showInputMessage="1" showErrorMessage="1" promptTitle="Sevimli jamoangizni tanlang" prompt="Ro'yxatdan foydalaning" sqref="C12">
      <formula1>teams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97"/>
  <sheetViews>
    <sheetView showGridLines="0" tabSelected="1" zoomScale="115" zoomScaleNormal="115" workbookViewId="0">
      <selection sqref="A1:P1"/>
    </sheetView>
  </sheetViews>
  <sheetFormatPr defaultRowHeight="15" x14ac:dyDescent="0.25"/>
  <cols>
    <col min="1" max="1" width="4.85546875" style="4" customWidth="1"/>
    <col min="2" max="2" width="6.140625" style="4" customWidth="1"/>
    <col min="3" max="3" width="11.7109375" style="4" bestFit="1" customWidth="1"/>
    <col min="4" max="4" width="7.28515625" style="5" customWidth="1"/>
    <col min="5" max="5" width="22.5703125" style="6" customWidth="1"/>
    <col min="6" max="7" width="4.28515625" style="7" customWidth="1"/>
    <col min="8" max="8" width="22.5703125" style="8" customWidth="1"/>
    <col min="9" max="9" width="4.28515625" style="3" customWidth="1"/>
    <col min="10" max="10" width="14" style="9" customWidth="1"/>
    <col min="11" max="14" width="5.42578125" style="10" customWidth="1"/>
    <col min="15" max="15" width="7.7109375" style="10" customWidth="1"/>
    <col min="16" max="16" width="7.28515625" style="10" customWidth="1"/>
    <col min="17" max="17" width="3.42578125" style="2" customWidth="1"/>
    <col min="18" max="18" width="15.42578125" style="56" hidden="1" customWidth="1"/>
    <col min="19" max="20" width="16" style="63" hidden="1" customWidth="1"/>
    <col min="21" max="21" width="5" style="57" hidden="1" customWidth="1"/>
    <col min="22" max="25" width="6.140625" style="56" hidden="1" customWidth="1"/>
    <col min="26" max="26" width="4.28515625" style="57" hidden="1" customWidth="1"/>
    <col min="27" max="27" width="5.42578125" style="56" hidden="1" customWidth="1"/>
    <col min="28" max="28" width="13.42578125" style="57" hidden="1" customWidth="1"/>
    <col min="29" max="33" width="5.42578125" style="56" hidden="1" customWidth="1"/>
    <col min="34" max="36" width="6" style="56" hidden="1" customWidth="1"/>
    <col min="37" max="37" width="5.42578125" style="56" hidden="1" customWidth="1"/>
    <col min="38" max="38" width="6" style="56" hidden="1" customWidth="1"/>
    <col min="39" max="39" width="7.140625" style="57" hidden="1" customWidth="1"/>
    <col min="40" max="40" width="10" style="57" hidden="1" customWidth="1"/>
    <col min="41" max="41" width="15.28515625" style="58" hidden="1" customWidth="1"/>
    <col min="42" max="42" width="4.7109375" style="59" hidden="1" customWidth="1"/>
    <col min="43" max="46" width="4.7109375" style="60" hidden="1" customWidth="1"/>
    <col min="47" max="49" width="9.140625" style="61" hidden="1" customWidth="1"/>
    <col min="50" max="50" width="9.140625" style="62" hidden="1" customWidth="1"/>
    <col min="51" max="51" width="3.28515625" style="3" customWidth="1"/>
    <col min="52" max="52" width="19.7109375" style="3" customWidth="1"/>
    <col min="53" max="54" width="3" style="3" customWidth="1"/>
    <col min="55" max="56" width="2" style="3" customWidth="1"/>
    <col min="57" max="57" width="3.28515625" style="3" customWidth="1"/>
    <col min="58" max="58" width="19.7109375" style="3" customWidth="1"/>
    <col min="59" max="60" width="3" style="3" customWidth="1"/>
    <col min="61" max="62" width="2" style="3" customWidth="1"/>
    <col min="63" max="63" width="3.28515625" style="3" customWidth="1"/>
    <col min="64" max="64" width="19.7109375" style="3" customWidth="1"/>
    <col min="65" max="66" width="3" style="3" customWidth="1"/>
    <col min="67" max="68" width="2" style="3" customWidth="1"/>
    <col min="69" max="69" width="3.28515625" style="3" customWidth="1"/>
    <col min="70" max="70" width="19.7109375" style="3" customWidth="1"/>
    <col min="71" max="72" width="3" style="3" customWidth="1"/>
    <col min="73" max="16384" width="9.140625" style="3"/>
  </cols>
  <sheetData>
    <row r="1" spans="1:72" ht="46.5" customHeight="1" x14ac:dyDescent="0.25">
      <c r="A1" s="148" t="str">
        <f>INDEX(T,2,lang)</f>
        <v>Futbol bo‘yicha 2018-yilgi Jahon chempionatining final bosqichi o‘yinlari jadvali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S1" s="56"/>
      <c r="T1" s="56"/>
      <c r="U1" s="56"/>
      <c r="Z1" s="56"/>
      <c r="AB1" s="56"/>
      <c r="AD1" s="57"/>
      <c r="AE1" s="57"/>
      <c r="AF1" s="58"/>
      <c r="AG1" s="59"/>
      <c r="AH1" s="60"/>
      <c r="AI1" s="60"/>
      <c r="AJ1" s="60"/>
      <c r="AK1" s="60"/>
      <c r="AL1" s="61"/>
      <c r="AM1" s="61"/>
      <c r="AN1" s="61"/>
      <c r="AO1" s="61"/>
      <c r="AP1" s="61"/>
      <c r="AQ1" s="61"/>
      <c r="AR1" s="61"/>
      <c r="AS1" s="61"/>
      <c r="AT1" s="61"/>
      <c r="BA1" s="169" t="s">
        <v>3303</v>
      </c>
      <c r="BB1" s="170"/>
      <c r="BC1" s="170"/>
      <c r="BD1" s="170"/>
      <c r="BE1" s="170"/>
      <c r="BF1" s="170"/>
      <c r="BG1" s="170"/>
      <c r="BH1" s="170"/>
      <c r="BI1" s="170"/>
      <c r="BJ1" s="170"/>
      <c r="BK1" s="170"/>
      <c r="BL1" s="170"/>
      <c r="BM1" s="170"/>
      <c r="BN1" s="170"/>
      <c r="BO1" s="170"/>
      <c r="BP1" s="170"/>
      <c r="BQ1" s="170"/>
      <c r="BR1" s="170"/>
      <c r="BS1" s="170"/>
      <c r="BT1" s="171"/>
    </row>
    <row r="2" spans="1:72" ht="3" customHeight="1" x14ac:dyDescent="0.25">
      <c r="S2" s="56"/>
      <c r="T2" s="56"/>
      <c r="U2" s="56"/>
      <c r="Z2" s="56"/>
      <c r="AB2" s="56"/>
      <c r="AD2" s="57"/>
      <c r="AE2" s="57"/>
      <c r="AF2" s="58"/>
      <c r="AG2" s="59"/>
      <c r="AH2" s="60"/>
      <c r="AI2" s="60"/>
      <c r="AJ2" s="60"/>
      <c r="AK2" s="60"/>
      <c r="AL2" s="61"/>
      <c r="AM2" s="61"/>
      <c r="AN2" s="61"/>
      <c r="AO2" s="61"/>
      <c r="AP2" s="61"/>
      <c r="AQ2" s="61"/>
      <c r="AR2" s="61"/>
      <c r="AS2" s="61"/>
      <c r="AT2" s="61"/>
      <c r="BA2" s="172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4"/>
    </row>
    <row r="3" spans="1:72" ht="12.75" customHeight="1" thickBot="1" x14ac:dyDescent="0.3">
      <c r="A3" s="138"/>
      <c r="B3" s="107"/>
      <c r="C3" s="107"/>
      <c r="D3" s="107"/>
      <c r="E3" s="107"/>
      <c r="F3" s="107"/>
      <c r="G3" s="107"/>
      <c r="H3" s="107"/>
      <c r="I3" s="107"/>
      <c r="J3" s="107"/>
      <c r="K3" s="159" t="str">
        <f>"Sevimli jamoa: " &amp; Settings!C12</f>
        <v>Sevimli jamoa: Argentina</v>
      </c>
      <c r="L3" s="159"/>
      <c r="M3" s="159"/>
      <c r="N3" s="159"/>
      <c r="O3" s="149" t="str">
        <f>"Jadval tili: " &amp; Settings!C4</f>
        <v>Jadval tili: Uzbek</v>
      </c>
      <c r="P3" s="149"/>
      <c r="S3" s="56"/>
      <c r="T3" s="56"/>
      <c r="U3" s="56"/>
      <c r="Z3" s="56"/>
      <c r="AB3" s="56"/>
      <c r="AD3" s="57"/>
      <c r="AE3" s="57"/>
      <c r="AF3" s="58"/>
      <c r="AG3" s="59"/>
      <c r="AH3" s="60"/>
      <c r="AI3" s="60"/>
      <c r="AJ3" s="60"/>
      <c r="AK3" s="60"/>
      <c r="AL3" s="61"/>
      <c r="AM3" s="61"/>
      <c r="AN3" s="61"/>
      <c r="AO3" s="61"/>
      <c r="AP3" s="61"/>
      <c r="AQ3" s="61"/>
      <c r="AR3" s="61"/>
      <c r="AS3" s="61"/>
      <c r="AT3" s="61"/>
      <c r="BA3" s="175"/>
      <c r="BB3" s="176"/>
      <c r="BC3" s="176"/>
      <c r="BD3" s="176"/>
      <c r="BE3" s="176"/>
      <c r="BF3" s="176"/>
      <c r="BG3" s="176"/>
      <c r="BH3" s="176"/>
      <c r="BI3" s="176"/>
      <c r="BJ3" s="176"/>
      <c r="BK3" s="176"/>
      <c r="BL3" s="176"/>
      <c r="BM3" s="176"/>
      <c r="BN3" s="176"/>
      <c r="BO3" s="176"/>
      <c r="BP3" s="176"/>
      <c r="BQ3" s="176"/>
      <c r="BR3" s="176"/>
      <c r="BS3" s="176"/>
      <c r="BT3" s="177"/>
    </row>
    <row r="4" spans="1:72" ht="3" customHeight="1" thickBot="1" x14ac:dyDescent="0.3">
      <c r="BA4" s="178" t="s">
        <v>3304</v>
      </c>
      <c r="BB4" s="179"/>
      <c r="BC4" s="179"/>
      <c r="BD4" s="179"/>
      <c r="BE4" s="179"/>
      <c r="BF4" s="179"/>
      <c r="BG4" s="179"/>
      <c r="BH4" s="179"/>
      <c r="BI4" s="179"/>
      <c r="BJ4" s="179"/>
      <c r="BK4" s="179"/>
      <c r="BL4" s="179"/>
      <c r="BM4" s="179"/>
      <c r="BN4" s="179"/>
      <c r="BO4" s="179"/>
      <c r="BP4" s="179"/>
      <c r="BQ4" s="179"/>
      <c r="BR4" s="179"/>
      <c r="BS4" s="179"/>
      <c r="BT4" s="180"/>
    </row>
    <row r="5" spans="1:72" ht="15" customHeight="1" thickBot="1" x14ac:dyDescent="0.3">
      <c r="A5" s="150" t="str">
        <f>INDEX(T,3,lang)</f>
        <v>Guruh bosqichi</v>
      </c>
      <c r="B5" s="151"/>
      <c r="C5" s="151"/>
      <c r="D5" s="151"/>
      <c r="E5" s="151"/>
      <c r="F5" s="151"/>
      <c r="G5" s="151"/>
      <c r="H5" s="152"/>
      <c r="J5" s="163" t="s">
        <v>2580</v>
      </c>
      <c r="K5" s="164"/>
      <c r="L5" s="164"/>
      <c r="M5" s="164"/>
      <c r="N5" s="164"/>
      <c r="O5" s="164"/>
      <c r="P5" s="165"/>
      <c r="BA5" s="178"/>
      <c r="BB5" s="179"/>
      <c r="BC5" s="181"/>
      <c r="BD5" s="181"/>
      <c r="BE5" s="181"/>
      <c r="BF5" s="181"/>
      <c r="BG5" s="181"/>
      <c r="BH5" s="181"/>
      <c r="BI5" s="181"/>
      <c r="BJ5" s="181"/>
      <c r="BK5" s="181"/>
      <c r="BL5" s="181"/>
      <c r="BM5" s="181"/>
      <c r="BN5" s="181"/>
      <c r="BO5" s="181"/>
      <c r="BP5" s="181"/>
      <c r="BQ5" s="181"/>
      <c r="BR5" s="181"/>
      <c r="BS5" s="181"/>
      <c r="BT5" s="182"/>
    </row>
    <row r="6" spans="1:72" ht="15" customHeight="1" thickTop="1" thickBot="1" x14ac:dyDescent="0.3">
      <c r="A6" s="153"/>
      <c r="B6" s="154"/>
      <c r="C6" s="154"/>
      <c r="D6" s="154"/>
      <c r="E6" s="154"/>
      <c r="F6" s="154"/>
      <c r="G6" s="154"/>
      <c r="H6" s="155"/>
      <c r="J6" s="166"/>
      <c r="K6" s="167"/>
      <c r="L6" s="167"/>
      <c r="M6" s="167"/>
      <c r="N6" s="167"/>
      <c r="O6" s="167"/>
      <c r="P6" s="168"/>
      <c r="R6" s="56" t="s">
        <v>2144</v>
      </c>
      <c r="V6" s="56" t="s">
        <v>2145</v>
      </c>
      <c r="W6" s="56" t="s">
        <v>2146</v>
      </c>
      <c r="AA6" s="56" t="s">
        <v>2147</v>
      </c>
      <c r="AB6" s="56" t="s">
        <v>986</v>
      </c>
      <c r="AC6" s="56" t="s">
        <v>330</v>
      </c>
      <c r="AD6" s="56" t="s">
        <v>366</v>
      </c>
      <c r="AE6" s="56" t="s">
        <v>301</v>
      </c>
      <c r="AF6" s="56" t="s">
        <v>2145</v>
      </c>
      <c r="AG6" s="56" t="s">
        <v>2146</v>
      </c>
      <c r="AH6" s="56" t="s">
        <v>2148</v>
      </c>
      <c r="AI6" s="56" t="s">
        <v>2148</v>
      </c>
      <c r="AK6" s="56" t="s">
        <v>2149</v>
      </c>
      <c r="AL6" s="56" t="s">
        <v>346</v>
      </c>
      <c r="AM6" s="56" t="s">
        <v>2150</v>
      </c>
      <c r="AN6" s="56" t="s">
        <v>2143</v>
      </c>
      <c r="AP6" s="59" t="s">
        <v>330</v>
      </c>
      <c r="AQ6" s="60" t="s">
        <v>366</v>
      </c>
      <c r="AR6" s="60" t="s">
        <v>2145</v>
      </c>
      <c r="AS6" s="60" t="s">
        <v>2146</v>
      </c>
      <c r="AT6" s="60" t="s">
        <v>2151</v>
      </c>
      <c r="AY6" s="156" t="str">
        <f>INDEX(T,4,lang)</f>
        <v>Nimchorak final</v>
      </c>
      <c r="AZ6" s="157"/>
      <c r="BA6" s="157"/>
      <c r="BB6" s="158"/>
      <c r="BE6" s="140" t="str">
        <f>INDEX(T,5,lang)</f>
        <v>Chorak final</v>
      </c>
      <c r="BF6" s="141"/>
      <c r="BG6" s="141"/>
      <c r="BH6" s="142"/>
      <c r="BK6" s="140" t="str">
        <f>INDEX(T,6,lang)</f>
        <v>Yarim final</v>
      </c>
      <c r="BL6" s="141"/>
      <c r="BM6" s="141"/>
      <c r="BN6" s="142"/>
      <c r="BQ6" s="140" t="str">
        <f>INDEX(T,8,lang)</f>
        <v>FINAL</v>
      </c>
      <c r="BR6" s="141"/>
      <c r="BS6" s="141"/>
      <c r="BT6" s="142"/>
    </row>
    <row r="7" spans="1:72" ht="15" customHeight="1" thickBot="1" x14ac:dyDescent="0.3">
      <c r="A7" s="12">
        <v>1</v>
      </c>
      <c r="B7" s="13" t="str">
        <f t="shared" ref="B7:B54" si="0">INDEX(T,18+INT(MOD(R7-1,7)),lang)</f>
        <v>Pay</v>
      </c>
      <c r="C7" s="14" t="str">
        <f t="shared" ref="C7:C54" si="1">INDEX(T,24+MONTH(R7),lang) &amp; " " &amp; DAY(R7) &amp; ", " &amp; YEAR(R7)</f>
        <v>Iyun 14, 2018</v>
      </c>
      <c r="D7" s="15">
        <f>TIME(HOUR(R7),MINUTE(R7),0)</f>
        <v>0.83333333333333337</v>
      </c>
      <c r="E7" s="55" t="str">
        <f>AB8</f>
        <v>Rossiya</v>
      </c>
      <c r="F7" s="16"/>
      <c r="G7" s="17"/>
      <c r="H7" s="64" t="str">
        <f>AB9</f>
        <v>Saudiya Arabistoni</v>
      </c>
      <c r="J7" s="160" t="s">
        <v>3305</v>
      </c>
      <c r="K7" s="161"/>
      <c r="L7" s="161"/>
      <c r="M7" s="161"/>
      <c r="N7" s="161"/>
      <c r="O7" s="161"/>
      <c r="P7" s="162"/>
      <c r="R7" s="56">
        <f>DATE(2018,6,14)+TIME(4,0,0)+gmt_delta</f>
        <v>43265.833333333328</v>
      </c>
      <c r="S7" s="63" t="str">
        <f t="shared" ref="S7:S54" si="2">IF(OR(F7="",G7=""),"",IF(F7&gt;G7,E7&amp;"_win",IF(F7&lt;G7,E7&amp;"_lose",E7&amp;"_draw")))</f>
        <v/>
      </c>
      <c r="T7" s="63" t="str">
        <f t="shared" ref="T7:T54" si="3">IF(S7="","",IF(F7&lt;G7,H7&amp;"_win",IF(F7&gt;G7,H7&amp;"_lose",H7&amp;"_draw")))</f>
        <v/>
      </c>
      <c r="U7" s="57">
        <f t="shared" ref="U7:U54" si="4">IF(S7="",0,IF(VLOOKUP(E7,$AB$8:$AK$53,7,FALSE)=VLOOKUP(H7,$AB$8:$AK$53,7,FALSE),1,0))</f>
        <v>0</v>
      </c>
      <c r="V7" s="56">
        <f t="shared" ref="V7:V54" si="5">U7*F7</f>
        <v>0</v>
      </c>
      <c r="W7" s="56">
        <f t="shared" ref="W7:W54" si="6">U7*G7</f>
        <v>0</v>
      </c>
      <c r="X7" s="56">
        <f t="shared" ref="X7:X54" si="7">IF(OR(E7=my_team,H7=my_team),1,0)</f>
        <v>0</v>
      </c>
      <c r="Y7" s="56" t="str">
        <f>IF(OR(F7="",G7=""),"",IF(F7&gt;G7,1,IF(F7&lt;G7,-1,0)))</f>
        <v/>
      </c>
      <c r="AY7" s="143"/>
      <c r="AZ7" s="144"/>
      <c r="BA7" s="144"/>
      <c r="BB7" s="145"/>
      <c r="BE7" s="143"/>
      <c r="BF7" s="144"/>
      <c r="BG7" s="144"/>
      <c r="BH7" s="145"/>
      <c r="BK7" s="143"/>
      <c r="BL7" s="144"/>
      <c r="BM7" s="144"/>
      <c r="BN7" s="145"/>
      <c r="BQ7" s="143"/>
      <c r="BR7" s="144"/>
      <c r="BS7" s="144"/>
      <c r="BT7" s="145"/>
    </row>
    <row r="8" spans="1:72" ht="15" customHeight="1" x14ac:dyDescent="0.25">
      <c r="A8" s="18">
        <v>2</v>
      </c>
      <c r="B8" s="19" t="str">
        <f t="shared" si="0"/>
        <v>Juma</v>
      </c>
      <c r="C8" s="20" t="str">
        <f t="shared" si="1"/>
        <v>Iyun 15, 2018</v>
      </c>
      <c r="D8" s="21">
        <f t="shared" ref="D8:D54" si="8">TIME(HOUR(R8),MINUTE(R8),0)</f>
        <v>0.70833333333333337</v>
      </c>
      <c r="E8" s="22" t="str">
        <f>AB10</f>
        <v>Misr</v>
      </c>
      <c r="F8" s="23"/>
      <c r="G8" s="24"/>
      <c r="H8" s="65" t="str">
        <f>AB11</f>
        <v>Urugvay</v>
      </c>
      <c r="J8" s="135" t="str">
        <f>INDEX(T,9,lang) &amp; " " &amp; "A"</f>
        <v>Guruh A</v>
      </c>
      <c r="K8" s="136" t="str">
        <f>INDEX(T,10,lang)</f>
        <v>O'</v>
      </c>
      <c r="L8" s="136" t="str">
        <f>INDEX(T,11,lang)</f>
        <v>Yu</v>
      </c>
      <c r="M8" s="136" t="str">
        <f>INDEX(T,12,lang)</f>
        <v>D</v>
      </c>
      <c r="N8" s="136" t="str">
        <f>INDEX(T,13,lang)</f>
        <v>M</v>
      </c>
      <c r="O8" s="136" t="str">
        <f>INDEX(T,14,lang)</f>
        <v>UrGol-O'tGol</v>
      </c>
      <c r="P8" s="137" t="str">
        <f>INDEX(T,15,lang)</f>
        <v>Ochko</v>
      </c>
      <c r="R8" s="56">
        <f>DATE(2018,6,15)+TIME(1,0,0)+gmt_delta</f>
        <v>43266.708333333328</v>
      </c>
      <c r="S8" s="63" t="str">
        <f t="shared" si="2"/>
        <v/>
      </c>
      <c r="T8" s="63" t="str">
        <f t="shared" si="3"/>
        <v/>
      </c>
      <c r="U8" s="57">
        <f t="shared" si="4"/>
        <v>0</v>
      </c>
      <c r="V8" s="56">
        <f t="shared" si="5"/>
        <v>0</v>
      </c>
      <c r="W8" s="56">
        <f t="shared" si="6"/>
        <v>0</v>
      </c>
      <c r="X8" s="56">
        <f t="shared" si="7"/>
        <v>0</v>
      </c>
      <c r="Y8" s="56" t="str">
        <f t="shared" ref="Y8:Y54" si="9">IF(OR(F8="",G8=""),"",IF(F8&gt;G8,1,IF(F8&lt;G8,-1,0)))</f>
        <v/>
      </c>
      <c r="AA8" s="56">
        <f>COUNTIF(AN8:AN11,CONCATENATE("&gt;=",AN8))</f>
        <v>4</v>
      </c>
      <c r="AB8" s="57" t="str">
        <f>VLOOKUP("Russia",T,lang,FALSE)</f>
        <v>Rossiya</v>
      </c>
      <c r="AC8" s="56">
        <f>COUNTIF($S$7:$T$54,"=" &amp; AB8 &amp; "_win")</f>
        <v>0</v>
      </c>
      <c r="AD8" s="56">
        <f>COUNTIF($S$7:$T$54,"=" &amp; AB8 &amp; "_draw")</f>
        <v>0</v>
      </c>
      <c r="AE8" s="56">
        <f>COUNTIF($S$7:$T$54,"=" &amp; AB8 &amp; "_lose")</f>
        <v>0</v>
      </c>
      <c r="AF8" s="56">
        <f>SUMIF($E$7:$E$54,$AB8,$F$7:$F$54) + SUMIF($H$7:$H$54,$AB8,$G$7:$G$54)</f>
        <v>0</v>
      </c>
      <c r="AG8" s="56">
        <f>SUMIF($E$7:$E$54,$AB8,$G$7:$G$54) + SUMIF($H$7:$H$54,$AB8,$F$7:$F$54)</f>
        <v>0</v>
      </c>
      <c r="AH8" s="56">
        <f>(AF8-AG8)+1</f>
        <v>1</v>
      </c>
      <c r="AI8" s="56">
        <f>AF8-AG8</f>
        <v>0</v>
      </c>
      <c r="AJ8" s="56">
        <f>(AI8-AI13)/AI12</f>
        <v>0</v>
      </c>
      <c r="AK8" s="56">
        <f>AC8*3+AD8</f>
        <v>0</v>
      </c>
      <c r="AL8" s="56">
        <f>AP8/AP12*1000+AQ8/AQ12*100+AT8/AT12*10+AR8/AR12</f>
        <v>0</v>
      </c>
      <c r="AM8" s="56">
        <f>VLOOKUP(AB8,db_fifarank,2,FALSE)/2000000</f>
        <v>2.6699999999999998E-4</v>
      </c>
      <c r="AN8" s="57">
        <f>1000*AK8/AK12+100*AJ8+10*AF8/AF12+1*AL8/AL12+AM8</f>
        <v>2.6699999999999998E-4</v>
      </c>
      <c r="AO8" s="58" t="str">
        <f>IF(SUM(AC8:AE11)=12,J9,INDEX(T,70,lang))</f>
        <v>1A</v>
      </c>
      <c r="AP8" s="59">
        <f>SUMPRODUCT(($S$7:$S$54=AB8&amp;"_win")*($U$7:$U$54))+SUMPRODUCT(($T$7:$T$54=AB8&amp;"_win")*($U$7:$U$54))</f>
        <v>0</v>
      </c>
      <c r="AQ8" s="60">
        <f>SUMPRODUCT(($S$7:$S$54=AB8&amp;"_draw")*($U$7:$U$54))+SUMPRODUCT(($T$7:$T$54=AB8&amp;"_draw")*($U$7:$U$54))</f>
        <v>0</v>
      </c>
      <c r="AR8" s="60">
        <f>SUMPRODUCT(($E$7:$E$54=AB8)*($U$7:$U$54)*($F$7:$F$54))+SUMPRODUCT(($H$7:$H$54=AB8)*($U$7:$U$54)*($G$7:$G$54))</f>
        <v>0</v>
      </c>
      <c r="AS8" s="60">
        <f>SUMPRODUCT(($E$7:$E$54=AB8)*($U$7:$U$54)*($G$7:$G$54))+SUMPRODUCT(($H$7:$H$54=AB8)*($U$7:$U$54)*($F$7:$F$54))</f>
        <v>0</v>
      </c>
      <c r="AT8" s="60">
        <f>AR8-AS8</f>
        <v>0</v>
      </c>
      <c r="AY8" s="106"/>
      <c r="AZ8" s="106"/>
      <c r="BF8" s="25"/>
      <c r="BG8" s="25"/>
      <c r="BL8" s="25"/>
      <c r="BM8" s="25"/>
      <c r="BN8" s="25"/>
      <c r="BO8" s="25"/>
      <c r="BP8" s="25"/>
      <c r="BQ8" s="25"/>
      <c r="BR8" s="25"/>
      <c r="BS8" s="25"/>
      <c r="BT8" s="25"/>
    </row>
    <row r="9" spans="1:72" ht="15" customHeight="1" x14ac:dyDescent="0.25">
      <c r="A9" s="18">
        <v>3</v>
      </c>
      <c r="B9" s="19" t="str">
        <f t="shared" si="0"/>
        <v>Juma</v>
      </c>
      <c r="C9" s="20" t="str">
        <f t="shared" si="1"/>
        <v>Iyun 15, 2018</v>
      </c>
      <c r="D9" s="21">
        <f t="shared" si="8"/>
        <v>0.95833333333333337</v>
      </c>
      <c r="E9" s="22" t="str">
        <f>AB14</f>
        <v>Portugaliya</v>
      </c>
      <c r="F9" s="23"/>
      <c r="G9" s="24"/>
      <c r="H9" s="65" t="str">
        <f>AB15</f>
        <v>Ispaniya</v>
      </c>
      <c r="J9" s="67" t="str">
        <f>VLOOKUP(1,AA8:AK11,2,FALSE)</f>
        <v>Urugvay</v>
      </c>
      <c r="K9" s="68">
        <f>L9+M9+N9</f>
        <v>0</v>
      </c>
      <c r="L9" s="68">
        <f>VLOOKUP(1,AA8:AK11,3,FALSE)</f>
        <v>0</v>
      </c>
      <c r="M9" s="68">
        <f>VLOOKUP(1,AA8:AK11,4,FALSE)</f>
        <v>0</v>
      </c>
      <c r="N9" s="68">
        <f>VLOOKUP(1,AA8:AK11,5,FALSE)</f>
        <v>0</v>
      </c>
      <c r="O9" s="68" t="str">
        <f>VLOOKUP(1,AA8:AK11,6,FALSE) &amp; " - " &amp; VLOOKUP(1,AA8:AK11,7,FALSE)</f>
        <v>0 - 0</v>
      </c>
      <c r="P9" s="69">
        <f>L9*3+M9</f>
        <v>0</v>
      </c>
      <c r="R9" s="56">
        <f>DATE(2018,6,15)+TIME(7,0,0)+gmt_delta</f>
        <v>43266.958333333328</v>
      </c>
      <c r="S9" s="63" t="str">
        <f t="shared" si="2"/>
        <v/>
      </c>
      <c r="T9" s="63" t="str">
        <f t="shared" si="3"/>
        <v/>
      </c>
      <c r="U9" s="57">
        <f t="shared" si="4"/>
        <v>0</v>
      </c>
      <c r="V9" s="56">
        <f t="shared" si="5"/>
        <v>0</v>
      </c>
      <c r="W9" s="56">
        <f t="shared" si="6"/>
        <v>0</v>
      </c>
      <c r="X9" s="56">
        <f t="shared" si="7"/>
        <v>0</v>
      </c>
      <c r="Y9" s="56" t="str">
        <f t="shared" si="9"/>
        <v/>
      </c>
      <c r="AA9" s="56">
        <f>COUNTIF(AN8:AN11,CONCATENATE("&gt;=",AN9))</f>
        <v>3</v>
      </c>
      <c r="AB9" s="57" t="str">
        <f>VLOOKUP("Saudi Arabia",T,lang,FALSE)</f>
        <v>Saudiya Arabistoni</v>
      </c>
      <c r="AC9" s="56">
        <f>COUNTIF($S$7:$T$54,"=" &amp; AB9 &amp; "_win")</f>
        <v>0</v>
      </c>
      <c r="AD9" s="56">
        <f>COUNTIF($S$7:$T$54,"=" &amp; AB9 &amp; "_draw")</f>
        <v>0</v>
      </c>
      <c r="AE9" s="56">
        <f>COUNTIF($S$7:$T$54,"=" &amp; AB9 &amp; "_lose")</f>
        <v>0</v>
      </c>
      <c r="AF9" s="56">
        <f>SUMIF($E$7:$E$54,$AB9,$F$7:$F$54) + SUMIF($H$7:$H$54,$AB9,$G$7:$G$54)</f>
        <v>0</v>
      </c>
      <c r="AG9" s="56">
        <f>SUMIF($E$7:$E$54,$AB9,$G$7:$G$54) + SUMIF($H$7:$H$54,$AB9,$F$7:$F$54)</f>
        <v>0</v>
      </c>
      <c r="AH9" s="56">
        <f>(AF9-AG9)+1</f>
        <v>1</v>
      </c>
      <c r="AI9" s="56">
        <f>AF9-AG9</f>
        <v>0</v>
      </c>
      <c r="AJ9" s="56">
        <f>(AI9-AI13)/AI12</f>
        <v>0</v>
      </c>
      <c r="AK9" s="56">
        <f>AC9*3+AD9</f>
        <v>0</v>
      </c>
      <c r="AL9" s="56">
        <f>AP9/AP12*1000+AQ9/AQ12*100+AT9/AT12*10+AR9/AR12</f>
        <v>0</v>
      </c>
      <c r="AM9" s="56">
        <f>VLOOKUP(AB9,db_fifarank,2,FALSE)/2000000</f>
        <v>2.7149999999999999E-4</v>
      </c>
      <c r="AN9" s="57">
        <f>1000*AK9/AK12+100*AJ9+10*AF9/AF12+1*AL9/AL12+AM9</f>
        <v>2.7149999999999999E-4</v>
      </c>
      <c r="AO9" s="58" t="str">
        <f>IF(SUM(AC8:AE11)=12,J10,INDEX(T,71,lang))</f>
        <v>2A</v>
      </c>
      <c r="AP9" s="59">
        <f>SUMPRODUCT(($S$7:$S$54=AB9&amp;"_win")*($U$7:$U$54))+SUMPRODUCT(($T$7:$T$54=AB9&amp;"_win")*($U$7:$U$54))</f>
        <v>0</v>
      </c>
      <c r="AQ9" s="60">
        <f>SUMPRODUCT(($S$7:$S$54=AB9&amp;"_draw")*($U$7:$U$54))+SUMPRODUCT(($T$7:$T$54=AB9&amp;"_draw")*($U$7:$U$54))</f>
        <v>0</v>
      </c>
      <c r="AR9" s="60">
        <f>SUMPRODUCT(($E$7:$E$54=AB9)*($U$7:$U$54)*($F$7:$F$54))+SUMPRODUCT(($H$7:$H$54=AB9)*($U$7:$U$54)*($G$7:$G$54))</f>
        <v>0</v>
      </c>
      <c r="AS9" s="60">
        <f>SUMPRODUCT(($E$7:$E$54=AB9)*($U$7:$U$54)*($G$7:$G$54))+SUMPRODUCT(($H$7:$H$54=AB9)*($U$7:$U$54)*($F$7:$F$54))</f>
        <v>0</v>
      </c>
      <c r="AT9" s="60">
        <f>AR9-AS9</f>
        <v>0</v>
      </c>
      <c r="AY9" s="25" t="str">
        <f>INDEX(T,24+MONTH(R58),lang) &amp; " " &amp; DAY(R58) &amp; ", " &amp; YEAR(R58)</f>
        <v>Iyun 30, 2018</v>
      </c>
      <c r="AZ9" s="25"/>
      <c r="BA9" s="139">
        <f>TIME(HOUR(R58),MINUTE(R58),0)</f>
        <v>0.95833333333333337</v>
      </c>
      <c r="BB9" s="139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</row>
    <row r="10" spans="1:72" ht="15" customHeight="1" x14ac:dyDescent="0.25">
      <c r="A10" s="18">
        <v>4</v>
      </c>
      <c r="B10" s="19" t="str">
        <f t="shared" si="0"/>
        <v>Juma</v>
      </c>
      <c r="C10" s="20" t="str">
        <f t="shared" si="1"/>
        <v>Iyun 15, 2018</v>
      </c>
      <c r="D10" s="21">
        <f t="shared" si="8"/>
        <v>0.83333333333333337</v>
      </c>
      <c r="E10" s="22" t="str">
        <f>AB16</f>
        <v>Marokash</v>
      </c>
      <c r="F10" s="23"/>
      <c r="G10" s="24"/>
      <c r="H10" s="65" t="str">
        <f>AB17</f>
        <v>Eron</v>
      </c>
      <c r="J10" s="70" t="str">
        <f>VLOOKUP(2,AA8:AK11,2,FALSE)</f>
        <v>Misr</v>
      </c>
      <c r="K10" s="26">
        <f>L10+M10+N10</f>
        <v>0</v>
      </c>
      <c r="L10" s="26">
        <f>VLOOKUP(2,AA8:AK11,3,FALSE)</f>
        <v>0</v>
      </c>
      <c r="M10" s="26">
        <f>VLOOKUP(2,AA8:AK11,4,FALSE)</f>
        <v>0</v>
      </c>
      <c r="N10" s="26">
        <f>VLOOKUP(2,AA8:AK11,5,FALSE)</f>
        <v>0</v>
      </c>
      <c r="O10" s="26" t="str">
        <f>VLOOKUP(2,AA8:AK11,6,FALSE) &amp; " - " &amp; VLOOKUP(2,AA8:AK11,7,FALSE)</f>
        <v>0 - 0</v>
      </c>
      <c r="P10" s="71">
        <f>L10*3+M10</f>
        <v>0</v>
      </c>
      <c r="R10" s="56">
        <f>DATE(2018,6,15)+TIME(4,0,0)+gmt_delta</f>
        <v>43266.833333333328</v>
      </c>
      <c r="S10" s="63" t="str">
        <f t="shared" si="2"/>
        <v/>
      </c>
      <c r="T10" s="63" t="str">
        <f t="shared" si="3"/>
        <v/>
      </c>
      <c r="U10" s="57">
        <f t="shared" si="4"/>
        <v>0</v>
      </c>
      <c r="V10" s="56">
        <f t="shared" si="5"/>
        <v>0</v>
      </c>
      <c r="W10" s="56">
        <f t="shared" si="6"/>
        <v>0</v>
      </c>
      <c r="X10" s="56">
        <f t="shared" si="7"/>
        <v>0</v>
      </c>
      <c r="Y10" s="56" t="str">
        <f t="shared" si="9"/>
        <v/>
      </c>
      <c r="AA10" s="56">
        <f>COUNTIF(AN8:AN11,CONCATENATE("&gt;=",AN10))</f>
        <v>2</v>
      </c>
      <c r="AB10" s="57" t="str">
        <f>VLOOKUP("Egypt",T,lang,FALSE)</f>
        <v>Misr</v>
      </c>
      <c r="AC10" s="56">
        <f>COUNTIF($S$7:$T$54,"=" &amp; AB10 &amp; "_win")</f>
        <v>0</v>
      </c>
      <c r="AD10" s="56">
        <f>COUNTIF($S$7:$T$54,"=" &amp; AB10 &amp; "_draw")</f>
        <v>0</v>
      </c>
      <c r="AE10" s="56">
        <f>COUNTIF($S$7:$T$54,"=" &amp; AB10 &amp; "_lose")</f>
        <v>0</v>
      </c>
      <c r="AF10" s="56">
        <f>SUMIF($E$7:$E$54,$AB10,$F$7:$F$54) + SUMIF($H$7:$H$54,$AB10,$G$7:$G$54)</f>
        <v>0</v>
      </c>
      <c r="AG10" s="56">
        <f>SUMIF($E$7:$E$54,$AB10,$G$7:$G$54) + SUMIF($H$7:$H$54,$AB10,$F$7:$F$54)</f>
        <v>0</v>
      </c>
      <c r="AH10" s="56">
        <f>(AF10-AG10)+1</f>
        <v>1</v>
      </c>
      <c r="AI10" s="56">
        <f>AF10-AG10</f>
        <v>0</v>
      </c>
      <c r="AJ10" s="56">
        <f>(AI10-AI13)/AI12</f>
        <v>0</v>
      </c>
      <c r="AK10" s="56">
        <f>AC10*3+AD10</f>
        <v>0</v>
      </c>
      <c r="AL10" s="56">
        <f>AP10/AP12*1000+AQ10/AQ12*100+AT10/AT12*10+AR10/AR12</f>
        <v>0</v>
      </c>
      <c r="AM10" s="56">
        <f>VLOOKUP(AB10,db_fifarank,2,FALSE)/2000000</f>
        <v>4.0250000000000003E-4</v>
      </c>
      <c r="AN10" s="57">
        <f>1000*AK10/AK12+100*AJ10+10*AF10/AF12+1*AL10/AL12+AM10</f>
        <v>4.0250000000000003E-4</v>
      </c>
      <c r="AP10" s="59">
        <f>SUMPRODUCT(($S$7:$S$54=AB10&amp;"_win")*($U$7:$U$54))+SUMPRODUCT(($T$7:$T$54=AB10&amp;"_win")*($U$7:$U$54))</f>
        <v>0</v>
      </c>
      <c r="AQ10" s="60">
        <f>SUMPRODUCT(($S$7:$S$54=AB10&amp;"_draw")*($U$7:$U$54))+SUMPRODUCT(($T$7:$T$54=AB10&amp;"_draw")*($U$7:$U$54))</f>
        <v>0</v>
      </c>
      <c r="AR10" s="60">
        <f>SUMPRODUCT(($E$7:$E$54=AB10)*($U$7:$U$54)*($F$7:$F$54))+SUMPRODUCT(($H$7:$H$54=AB10)*($U$7:$U$54)*($G$7:$G$54))</f>
        <v>0</v>
      </c>
      <c r="AS10" s="60">
        <f>SUMPRODUCT(($E$7:$E$54=AB10)*($U$7:$U$54)*($G$7:$G$54))+SUMPRODUCT(($H$7:$H$54=AB10)*($U$7:$U$54)*($F$7:$F$54))</f>
        <v>0</v>
      </c>
      <c r="AT10" s="60">
        <f>AR10-AS10</f>
        <v>0</v>
      </c>
      <c r="AY10" s="146">
        <v>49</v>
      </c>
      <c r="AZ10" s="27" t="str">
        <f>AO8</f>
        <v>1A</v>
      </c>
      <c r="BA10" s="28"/>
      <c r="BB10" s="29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</row>
    <row r="11" spans="1:72" ht="15" customHeight="1" x14ac:dyDescent="0.25">
      <c r="A11" s="18">
        <v>5</v>
      </c>
      <c r="B11" s="19" t="str">
        <f t="shared" si="0"/>
        <v>Shan</v>
      </c>
      <c r="C11" s="20" t="str">
        <f t="shared" si="1"/>
        <v>Iyun 16, 2018</v>
      </c>
      <c r="D11" s="21">
        <f t="shared" si="8"/>
        <v>0.625</v>
      </c>
      <c r="E11" s="22" t="str">
        <f>AB20</f>
        <v>Fransiya</v>
      </c>
      <c r="F11" s="23"/>
      <c r="G11" s="24"/>
      <c r="H11" s="65" t="str">
        <f>AB21</f>
        <v>Avstraliya</v>
      </c>
      <c r="J11" s="70" t="str">
        <f>VLOOKUP(3,AA8:AK11,2,FALSE)</f>
        <v>Saudiya Arabistoni</v>
      </c>
      <c r="K11" s="26">
        <f>L11+M11+N11</f>
        <v>0</v>
      </c>
      <c r="L11" s="26">
        <f>VLOOKUP(3,AA8:AK11,3,FALSE)</f>
        <v>0</v>
      </c>
      <c r="M11" s="26">
        <f>VLOOKUP(3,AA8:AK11,4,FALSE)</f>
        <v>0</v>
      </c>
      <c r="N11" s="26">
        <f>VLOOKUP(3,AA8:AK11,5,FALSE)</f>
        <v>0</v>
      </c>
      <c r="O11" s="26" t="str">
        <f>VLOOKUP(3,AA8:AK11,6,FALSE) &amp; " - " &amp; VLOOKUP(3,AA8:AK11,7,FALSE)</f>
        <v>0 - 0</v>
      </c>
      <c r="P11" s="71">
        <f>L11*3+M11</f>
        <v>0</v>
      </c>
      <c r="R11" s="56">
        <f>DATE(2018,6,15)+TIME(23,0,0)+gmt_delta</f>
        <v>43267.625</v>
      </c>
      <c r="S11" s="63" t="str">
        <f t="shared" si="2"/>
        <v/>
      </c>
      <c r="T11" s="63" t="str">
        <f t="shared" si="3"/>
        <v/>
      </c>
      <c r="U11" s="57">
        <f t="shared" si="4"/>
        <v>0</v>
      </c>
      <c r="V11" s="56">
        <f t="shared" si="5"/>
        <v>0</v>
      </c>
      <c r="W11" s="56">
        <f t="shared" si="6"/>
        <v>0</v>
      </c>
      <c r="X11" s="56">
        <f t="shared" si="7"/>
        <v>0</v>
      </c>
      <c r="Y11" s="56" t="str">
        <f t="shared" si="9"/>
        <v/>
      </c>
      <c r="AA11" s="56">
        <f>COUNTIF(AN8:AN11,CONCATENATE("&gt;=",AN11))</f>
        <v>1</v>
      </c>
      <c r="AB11" s="57" t="str">
        <f>VLOOKUP("Uruguay",T,lang,FALSE)</f>
        <v>Urugvay</v>
      </c>
      <c r="AC11" s="56">
        <f>COUNTIF($S$7:$T$54,"=" &amp; AB11 &amp; "_win")</f>
        <v>0</v>
      </c>
      <c r="AD11" s="56">
        <f>COUNTIF($S$7:$T$54,"=" &amp; AB11 &amp; "_draw")</f>
        <v>0</v>
      </c>
      <c r="AE11" s="56">
        <f>COUNTIF($S$7:$T$54,"=" &amp; AB11 &amp; "_lose")</f>
        <v>0</v>
      </c>
      <c r="AF11" s="56">
        <f>SUMIF($E$7:$E$54,$AB11,$F$7:$F$54) + SUMIF($H$7:$H$54,$AB11,$G$7:$G$54)</f>
        <v>0</v>
      </c>
      <c r="AG11" s="56">
        <f>SUMIF($E$7:$E$54,$AB11,$G$7:$G$54) + SUMIF($H$7:$H$54,$AB11,$F$7:$F$54)</f>
        <v>0</v>
      </c>
      <c r="AH11" s="56">
        <f>(AF11-AG11)+1</f>
        <v>1</v>
      </c>
      <c r="AI11" s="56">
        <f>AF11-AG11</f>
        <v>0</v>
      </c>
      <c r="AJ11" s="56">
        <f>(AI11-AI13)/AI12</f>
        <v>0</v>
      </c>
      <c r="AK11" s="56">
        <f>AC11*3+AD11</f>
        <v>0</v>
      </c>
      <c r="AL11" s="56">
        <f>AP11/AP12*1000+AQ11/AQ12*100+AT11/AT12*10+AR11/AR12</f>
        <v>0</v>
      </c>
      <c r="AM11" s="56">
        <f>VLOOKUP(AB11,db_fifarank,2,FALSE)/2000000</f>
        <v>4.6200000000000001E-4</v>
      </c>
      <c r="AN11" s="57">
        <f>1000*AK11/AK12+100*AJ11+10*AF11/AF12+1*AL11/AL12+AM11</f>
        <v>4.6200000000000001E-4</v>
      </c>
      <c r="AP11" s="59">
        <f>SUMPRODUCT(($S$7:$S$54=AB11&amp;"_win")*($U$7:$U$54))+SUMPRODUCT(($T$7:$T$54=AB11&amp;"_win")*($U$7:$U$54))</f>
        <v>0</v>
      </c>
      <c r="AQ11" s="60">
        <f>SUMPRODUCT(($S$7:$S$54=AB11&amp;"_draw")*($U$7:$U$54))+SUMPRODUCT(($T$7:$T$54=AB11&amp;"_draw")*($U$7:$U$54))</f>
        <v>0</v>
      </c>
      <c r="AR11" s="60">
        <f>SUMPRODUCT(($E$7:$E$54=AB11)*($U$7:$U$54)*($F$7:$F$54))+SUMPRODUCT(($H$7:$H$54=AB11)*($U$7:$U$54)*($G$7:$G$54))</f>
        <v>0</v>
      </c>
      <c r="AS11" s="60">
        <f>SUMPRODUCT(($E$7:$E$54=AB11)*($U$7:$U$54)*($G$7:$G$54))+SUMPRODUCT(($H$7:$H$54=AB11)*($U$7:$U$54)*($F$7:$F$54))</f>
        <v>0</v>
      </c>
      <c r="AT11" s="60">
        <f>AR11-AS11</f>
        <v>0</v>
      </c>
      <c r="AY11" s="147"/>
      <c r="AZ11" s="30" t="str">
        <f>AO15</f>
        <v>2B</v>
      </c>
      <c r="BA11" s="31"/>
      <c r="BB11" s="32"/>
      <c r="BC11" s="33"/>
      <c r="BD11" s="25"/>
      <c r="BE11" s="25" t="str">
        <f>INDEX(T,24+MONTH(R69),lang) &amp; " " &amp; DAY(R69) &amp; ", " &amp; YEAR(R69)</f>
        <v>Iyul 6, 2018</v>
      </c>
      <c r="BF11" s="25"/>
      <c r="BG11" s="139">
        <f>TIME(HOUR(R69),MINUTE(R69),0)</f>
        <v>0.79166666666666663</v>
      </c>
      <c r="BH11" s="139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</row>
    <row r="12" spans="1:72" ht="15" customHeight="1" x14ac:dyDescent="0.25">
      <c r="A12" s="18">
        <v>6</v>
      </c>
      <c r="B12" s="19" t="str">
        <f t="shared" si="0"/>
        <v>Shan</v>
      </c>
      <c r="C12" s="20" t="str">
        <f t="shared" si="1"/>
        <v>Iyun 16, 2018</v>
      </c>
      <c r="D12" s="21">
        <f t="shared" si="8"/>
        <v>0.875</v>
      </c>
      <c r="E12" s="22" t="str">
        <f>AB22</f>
        <v>Peru</v>
      </c>
      <c r="F12" s="23"/>
      <c r="G12" s="24"/>
      <c r="H12" s="65" t="str">
        <f>AB23</f>
        <v>Daniya</v>
      </c>
      <c r="J12" s="72" t="str">
        <f>VLOOKUP(4,AA8:AK11,2,FALSE)</f>
        <v>Rossiya</v>
      </c>
      <c r="K12" s="73">
        <f>L12+M12+N12</f>
        <v>0</v>
      </c>
      <c r="L12" s="73">
        <f>VLOOKUP(4,AA8:AK11,3,FALSE)</f>
        <v>0</v>
      </c>
      <c r="M12" s="73">
        <f>VLOOKUP(4,AA8:AK11,4,FALSE)</f>
        <v>0</v>
      </c>
      <c r="N12" s="73">
        <f>VLOOKUP(4,AA8:AK11,5,FALSE)</f>
        <v>0</v>
      </c>
      <c r="O12" s="73" t="str">
        <f>VLOOKUP(4,AA8:AK11,6,FALSE) &amp; " - " &amp; VLOOKUP(4,AA8:AK11,7,FALSE)</f>
        <v>0 - 0</v>
      </c>
      <c r="P12" s="74">
        <f>L12*3+M12</f>
        <v>0</v>
      </c>
      <c r="R12" s="56">
        <f>DATE(2018,6,16)+TIME(5,0,0)+gmt_delta</f>
        <v>43267.875</v>
      </c>
      <c r="S12" s="63" t="str">
        <f t="shared" si="2"/>
        <v/>
      </c>
      <c r="T12" s="63" t="str">
        <f t="shared" si="3"/>
        <v/>
      </c>
      <c r="U12" s="57">
        <f t="shared" si="4"/>
        <v>0</v>
      </c>
      <c r="V12" s="56">
        <f t="shared" si="5"/>
        <v>0</v>
      </c>
      <c r="W12" s="56">
        <f t="shared" si="6"/>
        <v>0</v>
      </c>
      <c r="X12" s="56">
        <f t="shared" si="7"/>
        <v>0</v>
      </c>
      <c r="Y12" s="56" t="str">
        <f t="shared" si="9"/>
        <v/>
      </c>
      <c r="AC12" s="56">
        <f t="shared" ref="AC12:AL12" si="10">MAX(AC8:AC11)-MIN(AC8:AC11)+1</f>
        <v>1</v>
      </c>
      <c r="AD12" s="56">
        <f t="shared" si="10"/>
        <v>1</v>
      </c>
      <c r="AE12" s="56">
        <f t="shared" si="10"/>
        <v>1</v>
      </c>
      <c r="AF12" s="56">
        <f t="shared" si="10"/>
        <v>1</v>
      </c>
      <c r="AG12" s="56">
        <f t="shared" si="10"/>
        <v>1</v>
      </c>
      <c r="AH12" s="56">
        <f>MAX(AH8:AH11)-AH13+1</f>
        <v>1</v>
      </c>
      <c r="AI12" s="56">
        <f>MAX(AI8:AI11)-AI13+1</f>
        <v>1</v>
      </c>
      <c r="AK12" s="56">
        <f t="shared" si="10"/>
        <v>1</v>
      </c>
      <c r="AL12" s="56">
        <f t="shared" si="10"/>
        <v>1</v>
      </c>
      <c r="AP12" s="56">
        <f>MAX(AP8:AP11)-MIN(AP8:AP11)+1</f>
        <v>1</v>
      </c>
      <c r="AQ12" s="56">
        <f>MAX(AQ8:AQ11)-MIN(AQ8:AQ11)+1</f>
        <v>1</v>
      </c>
      <c r="AR12" s="56">
        <f>MAX(AR8:AR11)-MIN(AR8:AR11)+1</f>
        <v>1</v>
      </c>
      <c r="AS12" s="56">
        <f>MAX(AS8:AS11)-MIN(AS8:AS11)+1</f>
        <v>1</v>
      </c>
      <c r="AT12" s="56">
        <f>MAX(AT8:AT11)-MIN(AT8:AT11)+1</f>
        <v>1</v>
      </c>
      <c r="AY12" s="25"/>
      <c r="AZ12" s="25"/>
      <c r="BA12" s="25"/>
      <c r="BB12" s="25"/>
      <c r="BC12" s="35"/>
      <c r="BD12" s="25"/>
      <c r="BE12" s="146">
        <v>57</v>
      </c>
      <c r="BF12" s="27" t="str">
        <f>T58</f>
        <v>W49</v>
      </c>
      <c r="BG12" s="28"/>
      <c r="BH12" s="29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</row>
    <row r="13" spans="1:72" ht="15" customHeight="1" x14ac:dyDescent="0.25">
      <c r="A13" s="18">
        <v>7</v>
      </c>
      <c r="B13" s="19" t="str">
        <f t="shared" si="0"/>
        <v>Shan</v>
      </c>
      <c r="C13" s="20" t="str">
        <f t="shared" si="1"/>
        <v>Iyun 16, 2018</v>
      </c>
      <c r="D13" s="21">
        <f t="shared" si="8"/>
        <v>0.75</v>
      </c>
      <c r="E13" s="22" t="str">
        <f>AB26</f>
        <v>Argentina</v>
      </c>
      <c r="F13" s="23"/>
      <c r="G13" s="24"/>
      <c r="H13" s="65" t="str">
        <f>AB27</f>
        <v>Islandiya</v>
      </c>
      <c r="J13" s="36"/>
      <c r="K13" s="37"/>
      <c r="L13" s="37"/>
      <c r="M13" s="37"/>
      <c r="N13" s="37"/>
      <c r="O13" s="37"/>
      <c r="P13" s="37"/>
      <c r="R13" s="56">
        <f>DATE(2018,6,16)+TIME(2,0,0)+gmt_delta</f>
        <v>43267.75</v>
      </c>
      <c r="S13" s="63" t="str">
        <f t="shared" si="2"/>
        <v/>
      </c>
      <c r="T13" s="63" t="str">
        <f t="shared" si="3"/>
        <v/>
      </c>
      <c r="U13" s="57">
        <f t="shared" si="4"/>
        <v>0</v>
      </c>
      <c r="V13" s="56">
        <f t="shared" si="5"/>
        <v>0</v>
      </c>
      <c r="W13" s="56">
        <f t="shared" si="6"/>
        <v>0</v>
      </c>
      <c r="X13" s="56">
        <f t="shared" si="7"/>
        <v>1</v>
      </c>
      <c r="Y13" s="56" t="str">
        <f t="shared" si="9"/>
        <v/>
      </c>
      <c r="AH13" s="56">
        <f>MIN(AH8:AH11)</f>
        <v>1</v>
      </c>
      <c r="AI13" s="56">
        <f>MIN(AI8:AI11)</f>
        <v>0</v>
      </c>
      <c r="AY13" s="25" t="str">
        <f>INDEX(T,24+MONTH(R59),lang) &amp; " " &amp; DAY(R59) &amp; ", " &amp; YEAR(R59)</f>
        <v>Iyun 30, 2018</v>
      </c>
      <c r="AZ13" s="25"/>
      <c r="BA13" s="139">
        <f>TIME(HOUR(R59),MINUTE(R59),0)</f>
        <v>0.79166666666666663</v>
      </c>
      <c r="BB13" s="139"/>
      <c r="BC13" s="35"/>
      <c r="BD13" s="38"/>
      <c r="BE13" s="147"/>
      <c r="BF13" s="30" t="str">
        <f>T59</f>
        <v>W50</v>
      </c>
      <c r="BG13" s="31"/>
      <c r="BH13" s="32"/>
      <c r="BI13" s="33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</row>
    <row r="14" spans="1:72" ht="15" customHeight="1" x14ac:dyDescent="0.25">
      <c r="A14" s="18">
        <v>8</v>
      </c>
      <c r="B14" s="19" t="str">
        <f t="shared" si="0"/>
        <v>Yak</v>
      </c>
      <c r="C14" s="20" t="str">
        <f t="shared" si="1"/>
        <v>Iyun 17, 2018</v>
      </c>
      <c r="D14" s="21">
        <f t="shared" si="8"/>
        <v>0</v>
      </c>
      <c r="E14" s="22" t="str">
        <f>AB28</f>
        <v>Xorvatiya</v>
      </c>
      <c r="F14" s="23"/>
      <c r="G14" s="24"/>
      <c r="H14" s="65" t="str">
        <f>AB29</f>
        <v>Nigeriya</v>
      </c>
      <c r="J14" s="75" t="str">
        <f>INDEX(T,9,lang) &amp; " " &amp; "B"</f>
        <v>Guruh B</v>
      </c>
      <c r="K14" s="76" t="str">
        <f>INDEX(T,10,lang)</f>
        <v>O'</v>
      </c>
      <c r="L14" s="76" t="str">
        <f>INDEX(T,11,lang)</f>
        <v>Yu</v>
      </c>
      <c r="M14" s="76" t="str">
        <f>INDEX(T,12,lang)</f>
        <v>D</v>
      </c>
      <c r="N14" s="76" t="str">
        <f>INDEX(T,13,lang)</f>
        <v>M</v>
      </c>
      <c r="O14" s="76" t="str">
        <f>INDEX(T,14,lang)</f>
        <v>UrGol-O'tGol</v>
      </c>
      <c r="P14" s="77" t="str">
        <f>INDEX(T,15,lang)</f>
        <v>Ochko</v>
      </c>
      <c r="R14" s="56">
        <f>DATE(2018,6,16)+TIME(8,0,0)+gmt_delta</f>
        <v>43268</v>
      </c>
      <c r="S14" s="63" t="str">
        <f t="shared" si="2"/>
        <v/>
      </c>
      <c r="T14" s="63" t="str">
        <f t="shared" si="3"/>
        <v/>
      </c>
      <c r="U14" s="57">
        <f t="shared" si="4"/>
        <v>0</v>
      </c>
      <c r="V14" s="56">
        <f t="shared" si="5"/>
        <v>0</v>
      </c>
      <c r="W14" s="56">
        <f t="shared" si="6"/>
        <v>0</v>
      </c>
      <c r="X14" s="56">
        <f t="shared" si="7"/>
        <v>0</v>
      </c>
      <c r="Y14" s="56" t="str">
        <f t="shared" si="9"/>
        <v/>
      </c>
      <c r="AA14" s="56">
        <f>COUNTIF(AN14:AN17,CONCATENATE("&gt;=",AN14))</f>
        <v>1</v>
      </c>
      <c r="AB14" s="57" t="str">
        <f>VLOOKUP("Portugal",T,lang,FALSE)</f>
        <v>Portugaliya</v>
      </c>
      <c r="AC14" s="56">
        <f>COUNTIF($S$7:$T$54,"=" &amp; AB14 &amp; "_win")</f>
        <v>0</v>
      </c>
      <c r="AD14" s="56">
        <f>COUNTIF($S$7:$T$54,"=" &amp; AB14 &amp; "_draw")</f>
        <v>0</v>
      </c>
      <c r="AE14" s="56">
        <f>COUNTIF($S$7:$T$54,"=" &amp; AB14 &amp; "_lose")</f>
        <v>0</v>
      </c>
      <c r="AF14" s="56">
        <f>SUMIF($E$7:$E$54,$AB14,$F$7:$F$54) + SUMIF($H$7:$H$54,$AB14,$G$7:$G$54)</f>
        <v>0</v>
      </c>
      <c r="AG14" s="56">
        <f>SUMIF($E$7:$E$54,$AB14,$G$7:$G$54) + SUMIF($H$7:$H$54,$AB14,$F$7:$F$54)</f>
        <v>0</v>
      </c>
      <c r="AH14" s="56">
        <f>(AF14-AG14)*100+AK14*10000+AF14</f>
        <v>0</v>
      </c>
      <c r="AI14" s="56">
        <f>AF14-AG14</f>
        <v>0</v>
      </c>
      <c r="AJ14" s="56">
        <f>(AI14-AI19)/AI18</f>
        <v>0</v>
      </c>
      <c r="AK14" s="56">
        <f>AC14*3+AD14</f>
        <v>0</v>
      </c>
      <c r="AL14" s="56">
        <f>AP14/AP18*1000+AQ14/AQ18*100+AT14/AT18*10+AR14/AR18</f>
        <v>0</v>
      </c>
      <c r="AM14" s="56">
        <f>VLOOKUP(AB14,db_fifarank,2,FALSE)/2000000</f>
        <v>6.7900000000000002E-4</v>
      </c>
      <c r="AN14" s="57">
        <f>1000*AK14/AK18+100*AJ14+10*AF14/AF18+1*AL14/AL18+AM14</f>
        <v>6.7900000000000002E-4</v>
      </c>
      <c r="AO14" s="58" t="str">
        <f>IF(SUM(AC14:AE17)=12,J15,INDEX(T,72,lang))</f>
        <v>1B</v>
      </c>
      <c r="AP14" s="59">
        <f>SUMPRODUCT(($S$7:$S$54=AB14&amp;"_win")*($U$7:$U$54))+SUMPRODUCT(($T$7:$T$54=AB14&amp;"_win")*($U$7:$U$54))</f>
        <v>0</v>
      </c>
      <c r="AQ14" s="60">
        <f>SUMPRODUCT(($S$7:$S$54=AB14&amp;"_draw")*($U$7:$U$54))+SUMPRODUCT(($T$7:$T$54=AB14&amp;"_draw")*($U$7:$U$54))</f>
        <v>0</v>
      </c>
      <c r="AR14" s="60">
        <f>SUMPRODUCT(($E$7:$E$54=AB14)*($U$7:$U$54)*($F$7:$F$54))+SUMPRODUCT(($H$7:$H$54=AB14)*($U$7:$U$54)*($G$7:$G$54))</f>
        <v>0</v>
      </c>
      <c r="AS14" s="60">
        <f>SUMPRODUCT(($E$7:$E$54=AB14)*($U$7:$U$54)*($G$7:$G$54))+SUMPRODUCT(($H$7:$H$54=AB14)*($U$7:$U$54)*($F$7:$F$54))</f>
        <v>0</v>
      </c>
      <c r="AT14" s="60">
        <f>AR14-AS14</f>
        <v>0</v>
      </c>
      <c r="AY14" s="146">
        <v>50</v>
      </c>
      <c r="AZ14" s="27" t="str">
        <f>AO20</f>
        <v>1C</v>
      </c>
      <c r="BA14" s="28"/>
      <c r="BB14" s="29"/>
      <c r="BC14" s="39"/>
      <c r="BD14" s="25"/>
      <c r="BE14" s="25"/>
      <c r="BF14" s="25"/>
      <c r="BG14" s="25"/>
      <c r="BH14" s="25"/>
      <c r="BI14" s="35"/>
      <c r="BJ14" s="25"/>
      <c r="BK14" s="25"/>
      <c r="BL14" s="25"/>
      <c r="BM14" s="25"/>
      <c r="BN14" s="34"/>
      <c r="BO14" s="25"/>
      <c r="BP14" s="25"/>
      <c r="BQ14" s="25"/>
      <c r="BR14" s="25"/>
      <c r="BS14" s="25"/>
      <c r="BT14" s="25"/>
    </row>
    <row r="15" spans="1:72" ht="15" customHeight="1" x14ac:dyDescent="0.25">
      <c r="A15" s="18">
        <v>9</v>
      </c>
      <c r="B15" s="19" t="str">
        <f t="shared" si="0"/>
        <v>Yak</v>
      </c>
      <c r="C15" s="20" t="str">
        <f t="shared" si="1"/>
        <v>Iyun 17, 2018</v>
      </c>
      <c r="D15" s="21">
        <f t="shared" si="8"/>
        <v>0.95833333333333337</v>
      </c>
      <c r="E15" s="22" t="str">
        <f>AB32</f>
        <v>Braziliya</v>
      </c>
      <c r="F15" s="23"/>
      <c r="G15" s="24"/>
      <c r="H15" s="65" t="str">
        <f>AB33</f>
        <v>Shveysariya</v>
      </c>
      <c r="J15" s="67" t="str">
        <f>VLOOKUP(1,AA14:AK17,2,FALSE)</f>
        <v>Portugaliya</v>
      </c>
      <c r="K15" s="68">
        <f>L15+M15+N15</f>
        <v>0</v>
      </c>
      <c r="L15" s="68">
        <f>VLOOKUP(1,AA14:AK17,3,FALSE)</f>
        <v>0</v>
      </c>
      <c r="M15" s="68">
        <f>VLOOKUP(1,AA14:AK17,4,FALSE)</f>
        <v>0</v>
      </c>
      <c r="N15" s="68">
        <f>VLOOKUP(1,AA14:AK17,5,FALSE)</f>
        <v>0</v>
      </c>
      <c r="O15" s="68" t="str">
        <f>VLOOKUP(1,AA14:AK17,6,FALSE) &amp; " - " &amp; VLOOKUP(1,AA14:AK17,7,FALSE)</f>
        <v>0 - 0</v>
      </c>
      <c r="P15" s="69">
        <f>L15*3+M15</f>
        <v>0</v>
      </c>
      <c r="R15" s="56">
        <f>DATE(2018,6,17)+TIME(7,0,0)+gmt_delta</f>
        <v>43268.958333333328</v>
      </c>
      <c r="S15" s="63" t="str">
        <f t="shared" si="2"/>
        <v/>
      </c>
      <c r="T15" s="63" t="str">
        <f t="shared" si="3"/>
        <v/>
      </c>
      <c r="U15" s="57">
        <f t="shared" si="4"/>
        <v>0</v>
      </c>
      <c r="V15" s="56">
        <f t="shared" si="5"/>
        <v>0</v>
      </c>
      <c r="W15" s="56">
        <f t="shared" si="6"/>
        <v>0</v>
      </c>
      <c r="X15" s="56">
        <f t="shared" si="7"/>
        <v>0</v>
      </c>
      <c r="Y15" s="56" t="str">
        <f t="shared" si="9"/>
        <v/>
      </c>
      <c r="AA15" s="56">
        <f>COUNTIF(AN14:AN17,CONCATENATE("&gt;=",AN15))</f>
        <v>2</v>
      </c>
      <c r="AB15" s="57" t="str">
        <f>VLOOKUP("Spain",T,lang,FALSE)</f>
        <v>Ispaniya</v>
      </c>
      <c r="AC15" s="56">
        <f>COUNTIF($S$7:$T$54,"=" &amp; AB15 &amp; "_win")</f>
        <v>0</v>
      </c>
      <c r="AD15" s="56">
        <f>COUNTIF($S$7:$T$54,"=" &amp; AB15 &amp; "_draw")</f>
        <v>0</v>
      </c>
      <c r="AE15" s="56">
        <f>COUNTIF($S$7:$T$54,"=" &amp; AB15 &amp; "_lose")</f>
        <v>0</v>
      </c>
      <c r="AF15" s="56">
        <f>SUMIF($E$7:$E$54,$AB15,$F$7:$F$54) + SUMIF($H$7:$H$54,$AB15,$G$7:$G$54)</f>
        <v>0</v>
      </c>
      <c r="AG15" s="56">
        <f>SUMIF($E$7:$E$54,$AB15,$G$7:$G$54) + SUMIF($H$7:$H$54,$AB15,$F$7:$F$54)</f>
        <v>0</v>
      </c>
      <c r="AH15" s="56">
        <f>(AF15-AG15)*100+AK15*10000+AF15</f>
        <v>0</v>
      </c>
      <c r="AI15" s="56">
        <f>AF15-AG15</f>
        <v>0</v>
      </c>
      <c r="AJ15" s="56">
        <f>(AI15-AI19)/AI18</f>
        <v>0</v>
      </c>
      <c r="AK15" s="56">
        <f>AC15*3+AD15</f>
        <v>0</v>
      </c>
      <c r="AL15" s="56">
        <f>AP15/AP18*1000+AQ15/AQ18*100+AT15/AT18*10+AR15/AR18</f>
        <v>0</v>
      </c>
      <c r="AM15" s="56">
        <f>VLOOKUP(AB15,db_fifarank,2,FALSE)/2000000</f>
        <v>6.1550000000000005E-4</v>
      </c>
      <c r="AN15" s="57">
        <f>1000*AK15/AK18+100*AJ15+10*AF15/AF18+1*AL15/AL18+AM15</f>
        <v>6.1550000000000005E-4</v>
      </c>
      <c r="AO15" s="58" t="str">
        <f>IF(SUM(AC14:AE17)=12,J16,INDEX(T,73,lang))</f>
        <v>2B</v>
      </c>
      <c r="AP15" s="59">
        <f>SUMPRODUCT(($S$7:$S$54=AB15&amp;"_win")*($U$7:$U$54))+SUMPRODUCT(($T$7:$T$54=AB15&amp;"_win")*($U$7:$U$54))</f>
        <v>0</v>
      </c>
      <c r="AQ15" s="60">
        <f>SUMPRODUCT(($S$7:$S$54=AB15&amp;"_draw")*($U$7:$U$54))+SUMPRODUCT(($T$7:$T$54=AB15&amp;"_draw")*($U$7:$U$54))</f>
        <v>0</v>
      </c>
      <c r="AR15" s="60">
        <f>SUMPRODUCT(($E$7:$E$54=AB15)*($U$7:$U$54)*($F$7:$F$54))+SUMPRODUCT(($H$7:$H$54=AB15)*($U$7:$U$54)*($G$7:$G$54))</f>
        <v>0</v>
      </c>
      <c r="AS15" s="60">
        <f>SUMPRODUCT(($E$7:$E$54=AB15)*($U$7:$U$54)*($G$7:$G$54))+SUMPRODUCT(($H$7:$H$54=AB15)*($U$7:$U$54)*($F$7:$F$54))</f>
        <v>0</v>
      </c>
      <c r="AT15" s="60">
        <f>AR15-AS15</f>
        <v>0</v>
      </c>
      <c r="AY15" s="147"/>
      <c r="AZ15" s="30" t="str">
        <f>AO27</f>
        <v>2D</v>
      </c>
      <c r="BA15" s="31"/>
      <c r="BB15" s="32"/>
      <c r="BC15" s="25"/>
      <c r="BD15" s="25"/>
      <c r="BE15" s="25"/>
      <c r="BF15" s="25"/>
      <c r="BG15" s="25"/>
      <c r="BH15" s="25"/>
      <c r="BI15" s="35"/>
      <c r="BJ15" s="25"/>
      <c r="BK15" s="25" t="str">
        <f>INDEX(T,24+MONTH(R76),lang) &amp; " " &amp; DAY(R76) &amp; ", " &amp; YEAR(R76)</f>
        <v>Iyul 10, 2018</v>
      </c>
      <c r="BL15" s="25"/>
      <c r="BM15" s="139">
        <f>TIME(HOUR(R76),MINUTE(R76),0)</f>
        <v>0.95833333333333337</v>
      </c>
      <c r="BN15" s="139"/>
      <c r="BO15" s="25"/>
      <c r="BP15" s="25"/>
      <c r="BQ15" s="25"/>
      <c r="BR15" s="25"/>
      <c r="BS15" s="25"/>
      <c r="BT15" s="25"/>
    </row>
    <row r="16" spans="1:72" ht="15" customHeight="1" x14ac:dyDescent="0.25">
      <c r="A16" s="18">
        <v>10</v>
      </c>
      <c r="B16" s="19" t="str">
        <f t="shared" si="0"/>
        <v>Yak</v>
      </c>
      <c r="C16" s="20" t="str">
        <f t="shared" si="1"/>
        <v>Iyun 17, 2018</v>
      </c>
      <c r="D16" s="21">
        <f t="shared" si="8"/>
        <v>0.70833333333333337</v>
      </c>
      <c r="E16" s="22" t="str">
        <f>AB34</f>
        <v>Kosta-Rika</v>
      </c>
      <c r="F16" s="23"/>
      <c r="G16" s="24"/>
      <c r="H16" s="65" t="str">
        <f>AB35</f>
        <v>Serbiya</v>
      </c>
      <c r="J16" s="70" t="str">
        <f>VLOOKUP(2,AA14:AK17,2,FALSE)</f>
        <v>Ispaniya</v>
      </c>
      <c r="K16" s="26">
        <f>L16+M16+N16</f>
        <v>0</v>
      </c>
      <c r="L16" s="26">
        <f>VLOOKUP(2,AA14:AK17,3,FALSE)</f>
        <v>0</v>
      </c>
      <c r="M16" s="26">
        <f>VLOOKUP(2,AA14:AK17,4,FALSE)</f>
        <v>0</v>
      </c>
      <c r="N16" s="26">
        <f>VLOOKUP(2,AA14:AK17,5,FALSE)</f>
        <v>0</v>
      </c>
      <c r="O16" s="26" t="str">
        <f>VLOOKUP(2,AA14:AK17,6,FALSE) &amp; " - " &amp; VLOOKUP(2,AA14:AK17,7,FALSE)</f>
        <v>0 - 0</v>
      </c>
      <c r="P16" s="71">
        <f>L16*3+M16</f>
        <v>0</v>
      </c>
      <c r="R16" s="56">
        <f>DATE(2018,6,17)+TIME(1,0,0)+gmt_delta</f>
        <v>43268.708333333328</v>
      </c>
      <c r="S16" s="63" t="str">
        <f t="shared" si="2"/>
        <v/>
      </c>
      <c r="T16" s="63" t="str">
        <f t="shared" si="3"/>
        <v/>
      </c>
      <c r="U16" s="57">
        <f t="shared" si="4"/>
        <v>0</v>
      </c>
      <c r="V16" s="56">
        <f t="shared" si="5"/>
        <v>0</v>
      </c>
      <c r="W16" s="56">
        <f t="shared" si="6"/>
        <v>0</v>
      </c>
      <c r="X16" s="56">
        <f t="shared" si="7"/>
        <v>0</v>
      </c>
      <c r="Y16" s="56" t="str">
        <f t="shared" si="9"/>
        <v/>
      </c>
      <c r="AA16" s="56">
        <f>COUNTIF(AN14:AN17,CONCATENATE("&gt;=",AN16))</f>
        <v>4</v>
      </c>
      <c r="AB16" s="57" t="str">
        <f>VLOOKUP("Morocco",T,lang,FALSE)</f>
        <v>Marokash</v>
      </c>
      <c r="AC16" s="56">
        <f>COUNTIF($S$7:$T$54,"=" &amp; AB16 &amp; "_win")</f>
        <v>0</v>
      </c>
      <c r="AD16" s="56">
        <f>COUNTIF($S$7:$T$54,"=" &amp; AB16 &amp; "_draw")</f>
        <v>0</v>
      </c>
      <c r="AE16" s="56">
        <f>COUNTIF($S$7:$T$54,"=" &amp; AB16 &amp; "_lose")</f>
        <v>0</v>
      </c>
      <c r="AF16" s="56">
        <f>SUMIF($E$7:$E$54,$AB16,$F$7:$F$54) + SUMIF($H$7:$H$54,$AB16,$G$7:$G$54)</f>
        <v>0</v>
      </c>
      <c r="AG16" s="56">
        <f>SUMIF($E$7:$E$54,$AB16,$G$7:$G$54) + SUMIF($H$7:$H$54,$AB16,$F$7:$F$54)</f>
        <v>0</v>
      </c>
      <c r="AH16" s="56">
        <f>(AF16-AG16)*100+AK16*10000+AF16</f>
        <v>0</v>
      </c>
      <c r="AI16" s="56">
        <f>AF16-AG16</f>
        <v>0</v>
      </c>
      <c r="AJ16" s="56">
        <f>(AI16-AI19)/AI18</f>
        <v>0</v>
      </c>
      <c r="AK16" s="56">
        <f>AC16*3+AD16</f>
        <v>0</v>
      </c>
      <c r="AL16" s="56">
        <f>AP16/AP18*1000+AQ16/AQ18*100+AT16/AT18*10+AR16/AR18</f>
        <v>0</v>
      </c>
      <c r="AM16" s="56">
        <f>VLOOKUP(AB16,db_fifarank,2,FALSE)/2000000</f>
        <v>3.6900000000000002E-4</v>
      </c>
      <c r="AN16" s="57">
        <f>1000*AK16/AK18+100*AJ16+10*AF16/AF18+1*AL16/AL18+AM16</f>
        <v>3.6900000000000002E-4</v>
      </c>
      <c r="AP16" s="59">
        <f>SUMPRODUCT(($S$7:$S$54=AB16&amp;"_win")*($U$7:$U$54))+SUMPRODUCT(($T$7:$T$54=AB16&amp;"_win")*($U$7:$U$54))</f>
        <v>0</v>
      </c>
      <c r="AQ16" s="60">
        <f>SUMPRODUCT(($S$7:$S$54=AB16&amp;"_draw")*($U$7:$U$54))+SUMPRODUCT(($T$7:$T$54=AB16&amp;"_draw")*($U$7:$U$54))</f>
        <v>0</v>
      </c>
      <c r="AR16" s="60">
        <f>SUMPRODUCT(($E$7:$E$54=AB16)*($U$7:$U$54)*($F$7:$F$54))+SUMPRODUCT(($H$7:$H$54=AB16)*($U$7:$U$54)*($G$7:$G$54))</f>
        <v>0</v>
      </c>
      <c r="AS16" s="60">
        <f>SUMPRODUCT(($E$7:$E$54=AB16)*($U$7:$U$54)*($G$7:$G$54))+SUMPRODUCT(($H$7:$H$54=AB16)*($U$7:$U$54)*($F$7:$F$54))</f>
        <v>0</v>
      </c>
      <c r="AT16" s="60">
        <f>AR16-AS16</f>
        <v>0</v>
      </c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35"/>
      <c r="BJ16" s="25"/>
      <c r="BK16" s="146">
        <v>61</v>
      </c>
      <c r="BL16" s="27" t="str">
        <f>T69</f>
        <v>W57</v>
      </c>
      <c r="BM16" s="28"/>
      <c r="BN16" s="29"/>
      <c r="BO16" s="25"/>
      <c r="BP16" s="40"/>
      <c r="BQ16" s="25"/>
      <c r="BR16" s="25"/>
      <c r="BS16" s="25"/>
      <c r="BT16" s="25"/>
    </row>
    <row r="17" spans="1:72" ht="15" customHeight="1" x14ac:dyDescent="0.25">
      <c r="A17" s="18">
        <v>11</v>
      </c>
      <c r="B17" s="19" t="str">
        <f t="shared" si="0"/>
        <v>Yak</v>
      </c>
      <c r="C17" s="20" t="str">
        <f t="shared" si="1"/>
        <v>Iyun 17, 2018</v>
      </c>
      <c r="D17" s="21">
        <f t="shared" si="8"/>
        <v>0.83333333333333337</v>
      </c>
      <c r="E17" s="22" t="str">
        <f>AB38</f>
        <v>Germaniya</v>
      </c>
      <c r="F17" s="23"/>
      <c r="G17" s="24"/>
      <c r="H17" s="65" t="str">
        <f>AB39</f>
        <v>Meksika</v>
      </c>
      <c r="J17" s="70" t="str">
        <f>VLOOKUP(3,AA14:AK17,2,FALSE)</f>
        <v>Eron</v>
      </c>
      <c r="K17" s="26">
        <f>L17+M17+N17</f>
        <v>0</v>
      </c>
      <c r="L17" s="26">
        <f>VLOOKUP(3,AA14:AK17,3,FALSE)</f>
        <v>0</v>
      </c>
      <c r="M17" s="26">
        <f>VLOOKUP(3,AA14:AK17,4,FALSE)</f>
        <v>0</v>
      </c>
      <c r="N17" s="26">
        <f>VLOOKUP(3,AA14:AK17,5,FALSE)</f>
        <v>0</v>
      </c>
      <c r="O17" s="26" t="str">
        <f>VLOOKUP(3,AA14:AK17,6,FALSE) &amp; " - " &amp; VLOOKUP(3,AA14:AK17,7,FALSE)</f>
        <v>0 - 0</v>
      </c>
      <c r="P17" s="71">
        <f>L17*3+M17</f>
        <v>0</v>
      </c>
      <c r="R17" s="56">
        <f>DATE(2018,6,17)+TIME(4,0,0)+gmt_delta</f>
        <v>43268.833333333328</v>
      </c>
      <c r="S17" s="63" t="str">
        <f t="shared" si="2"/>
        <v/>
      </c>
      <c r="T17" s="63" t="str">
        <f t="shared" si="3"/>
        <v/>
      </c>
      <c r="U17" s="57">
        <f t="shared" si="4"/>
        <v>0</v>
      </c>
      <c r="V17" s="56">
        <f t="shared" si="5"/>
        <v>0</v>
      </c>
      <c r="W17" s="56">
        <f t="shared" si="6"/>
        <v>0</v>
      </c>
      <c r="X17" s="56">
        <f t="shared" si="7"/>
        <v>0</v>
      </c>
      <c r="Y17" s="56" t="str">
        <f t="shared" si="9"/>
        <v/>
      </c>
      <c r="AA17" s="56">
        <f>COUNTIF(AN14:AN17,CONCATENATE("&gt;=",AN17))</f>
        <v>3</v>
      </c>
      <c r="AB17" s="57" t="str">
        <f>VLOOKUP("Iran",T,lang,FALSE)</f>
        <v>Eron</v>
      </c>
      <c r="AC17" s="56">
        <f>COUNTIF($S$7:$T$54,"=" &amp; AB17 &amp; "_win")</f>
        <v>0</v>
      </c>
      <c r="AD17" s="56">
        <f>COUNTIF($S$7:$T$54,"=" &amp; AB17 &amp; "_draw")</f>
        <v>0</v>
      </c>
      <c r="AE17" s="56">
        <f>COUNTIF($S$7:$T$54,"=" &amp; AB17 &amp; "_lose")</f>
        <v>0</v>
      </c>
      <c r="AF17" s="56">
        <f>SUMIF($E$7:$E$54,$AB17,$F$7:$F$54) + SUMIF($H$7:$H$54,$AB17,$G$7:$G$54)</f>
        <v>0</v>
      </c>
      <c r="AG17" s="56">
        <f>SUMIF($E$7:$E$54,$AB17,$G$7:$G$54) + SUMIF($H$7:$H$54,$AB17,$F$7:$F$54)</f>
        <v>0</v>
      </c>
      <c r="AH17" s="56">
        <f>(AF17-AG17)*100+AK17*10000+AF17</f>
        <v>0</v>
      </c>
      <c r="AI17" s="56">
        <f>AF17-AG17</f>
        <v>0</v>
      </c>
      <c r="AJ17" s="56">
        <f>(AI17-AI19)/AI18</f>
        <v>0</v>
      </c>
      <c r="AK17" s="56">
        <f>AC17*3+AD17</f>
        <v>0</v>
      </c>
      <c r="AL17" s="56">
        <f>AP17/AP18*1000+AQ17/AQ18*100+AT17/AT18*10+AR17/AR18</f>
        <v>0</v>
      </c>
      <c r="AM17" s="56">
        <f>VLOOKUP(AB17,db_fifarank,2,FALSE)/2000000</f>
        <v>3.9899999999999999E-4</v>
      </c>
      <c r="AN17" s="57">
        <f>1000*AK17/AK18+100*AJ17+10*AF17/AF18+1*AL17/AL18+AM17</f>
        <v>3.9899999999999999E-4</v>
      </c>
      <c r="AP17" s="59">
        <f>SUMPRODUCT(($S$7:$S$54=AB17&amp;"_win")*($U$7:$U$54))+SUMPRODUCT(($T$7:$T$54=AB17&amp;"_win")*($U$7:$U$54))</f>
        <v>0</v>
      </c>
      <c r="AQ17" s="60">
        <f>SUMPRODUCT(($S$7:$S$54=AB17&amp;"_draw")*($U$7:$U$54))+SUMPRODUCT(($T$7:$T$54=AB17&amp;"_draw")*($U$7:$U$54))</f>
        <v>0</v>
      </c>
      <c r="AR17" s="60">
        <f>SUMPRODUCT(($E$7:$E$54=AB17)*($U$7:$U$54)*($F$7:$F$54))+SUMPRODUCT(($H$7:$H$54=AB17)*($U$7:$U$54)*($G$7:$G$54))</f>
        <v>0</v>
      </c>
      <c r="AS17" s="60">
        <f>SUMPRODUCT(($E$7:$E$54=AB17)*($U$7:$U$54)*($G$7:$G$54))+SUMPRODUCT(($H$7:$H$54=AB17)*($U$7:$U$54)*($F$7:$F$54))</f>
        <v>0</v>
      </c>
      <c r="AT17" s="60">
        <f>AR17-AS17</f>
        <v>0</v>
      </c>
      <c r="AY17" s="25" t="str">
        <f>INDEX(T,24+MONTH(R62),lang) &amp; " " &amp; DAY(R62) &amp; ", " &amp; YEAR(R62)</f>
        <v>Iyul 2, 2018</v>
      </c>
      <c r="AZ17" s="25"/>
      <c r="BA17" s="139">
        <f>TIME(HOUR(R62),MINUTE(R62),0)</f>
        <v>0.79166666666666663</v>
      </c>
      <c r="BB17" s="139"/>
      <c r="BC17" s="25"/>
      <c r="BD17" s="25"/>
      <c r="BE17" s="25"/>
      <c r="BF17" s="25"/>
      <c r="BG17" s="25"/>
      <c r="BH17" s="25"/>
      <c r="BI17" s="35"/>
      <c r="BJ17" s="38"/>
      <c r="BK17" s="147"/>
      <c r="BL17" s="30" t="str">
        <f>T70</f>
        <v>W58</v>
      </c>
      <c r="BM17" s="31"/>
      <c r="BN17" s="32"/>
      <c r="BO17" s="33"/>
      <c r="BP17" s="41"/>
      <c r="BQ17" s="25"/>
      <c r="BR17" s="25"/>
      <c r="BS17" s="25"/>
      <c r="BT17" s="25"/>
    </row>
    <row r="18" spans="1:72" ht="15" customHeight="1" x14ac:dyDescent="0.25">
      <c r="A18" s="18">
        <v>12</v>
      </c>
      <c r="B18" s="19" t="str">
        <f t="shared" si="0"/>
        <v>Dush</v>
      </c>
      <c r="C18" s="20" t="str">
        <f t="shared" si="1"/>
        <v>Iyun 18, 2018</v>
      </c>
      <c r="D18" s="21">
        <f t="shared" si="8"/>
        <v>0.70833333333333337</v>
      </c>
      <c r="E18" s="22" t="str">
        <f>AB40</f>
        <v>Shvetsiya</v>
      </c>
      <c r="F18" s="23"/>
      <c r="G18" s="24"/>
      <c r="H18" s="65" t="str">
        <f>AB41</f>
        <v>Janubiy Koreya</v>
      </c>
      <c r="J18" s="72" t="str">
        <f>VLOOKUP(4,AA14:AK17,2,FALSE)</f>
        <v>Marokash</v>
      </c>
      <c r="K18" s="73">
        <f>L18+M18+N18</f>
        <v>0</v>
      </c>
      <c r="L18" s="73">
        <f>VLOOKUP(4,AA14:AK17,3,FALSE)</f>
        <v>0</v>
      </c>
      <c r="M18" s="73">
        <f>VLOOKUP(4,AA14:AK17,4,FALSE)</f>
        <v>0</v>
      </c>
      <c r="N18" s="73">
        <f>VLOOKUP(4,AA14:AK17,5,FALSE)</f>
        <v>0</v>
      </c>
      <c r="O18" s="73" t="str">
        <f>VLOOKUP(4,AA14:AK17,6,FALSE) &amp; " - " &amp; VLOOKUP(4,AA14:AK17,7,FALSE)</f>
        <v>0 - 0</v>
      </c>
      <c r="P18" s="74">
        <f>L18*3+M18</f>
        <v>0</v>
      </c>
      <c r="R18" s="56">
        <f>DATE(2018,6,18)+TIME(1,0,0)+gmt_delta</f>
        <v>43269.708333333328</v>
      </c>
      <c r="S18" s="63" t="str">
        <f t="shared" si="2"/>
        <v/>
      </c>
      <c r="T18" s="63" t="str">
        <f t="shared" si="3"/>
        <v/>
      </c>
      <c r="U18" s="57">
        <f t="shared" si="4"/>
        <v>0</v>
      </c>
      <c r="V18" s="56">
        <f t="shared" si="5"/>
        <v>0</v>
      </c>
      <c r="W18" s="56">
        <f t="shared" si="6"/>
        <v>0</v>
      </c>
      <c r="X18" s="56">
        <f t="shared" si="7"/>
        <v>0</v>
      </c>
      <c r="Y18" s="56" t="str">
        <f t="shared" si="9"/>
        <v/>
      </c>
      <c r="AC18" s="56">
        <f t="shared" ref="AC18:AL18" si="11">MAX(AC14:AC17)-MIN(AC14:AC17)+1</f>
        <v>1</v>
      </c>
      <c r="AD18" s="56">
        <f t="shared" si="11"/>
        <v>1</v>
      </c>
      <c r="AE18" s="56">
        <f t="shared" si="11"/>
        <v>1</v>
      </c>
      <c r="AF18" s="56">
        <f t="shared" si="11"/>
        <v>1</v>
      </c>
      <c r="AG18" s="56">
        <f t="shared" si="11"/>
        <v>1</v>
      </c>
      <c r="AH18" s="56">
        <f>MAX(AH14:AH17)-AH19+1</f>
        <v>1</v>
      </c>
      <c r="AI18" s="56">
        <f>MAX(AI14:AI17)-AI19+1</f>
        <v>1</v>
      </c>
      <c r="AK18" s="56">
        <f t="shared" si="11"/>
        <v>1</v>
      </c>
      <c r="AL18" s="56">
        <f t="shared" si="11"/>
        <v>1</v>
      </c>
      <c r="AP18" s="56">
        <f>MAX(AP14:AP17)-MIN(AP14:AP17)+1</f>
        <v>1</v>
      </c>
      <c r="AQ18" s="56">
        <f>MAX(AQ14:AQ17)-MIN(AQ14:AQ17)+1</f>
        <v>1</v>
      </c>
      <c r="AR18" s="56">
        <f>MAX(AR14:AR17)-MIN(AR14:AR17)+1</f>
        <v>1</v>
      </c>
      <c r="AS18" s="56">
        <f>MAX(AS14:AS17)-MIN(AS14:AS17)+1</f>
        <v>1</v>
      </c>
      <c r="AT18" s="56">
        <f>MAX(AT14:AT17)-MIN(AT14:AT17)+1</f>
        <v>1</v>
      </c>
      <c r="AY18" s="146">
        <v>53</v>
      </c>
      <c r="AZ18" s="27" t="str">
        <f>AO32</f>
        <v>1E</v>
      </c>
      <c r="BA18" s="28"/>
      <c r="BB18" s="29"/>
      <c r="BC18" s="25"/>
      <c r="BD18" s="25"/>
      <c r="BE18" s="25"/>
      <c r="BF18" s="25"/>
      <c r="BG18" s="25"/>
      <c r="BH18" s="25"/>
      <c r="BI18" s="35"/>
      <c r="BJ18" s="25"/>
      <c r="BK18" s="25"/>
      <c r="BL18" s="25"/>
      <c r="BM18" s="25"/>
      <c r="BN18" s="25"/>
      <c r="BO18" s="35"/>
      <c r="BP18" s="25"/>
      <c r="BQ18" s="25"/>
      <c r="BR18" s="25"/>
      <c r="BS18" s="25"/>
      <c r="BT18" s="25"/>
    </row>
    <row r="19" spans="1:72" ht="15" customHeight="1" x14ac:dyDescent="0.25">
      <c r="A19" s="18">
        <v>13</v>
      </c>
      <c r="B19" s="19" t="str">
        <f t="shared" si="0"/>
        <v>Dush</v>
      </c>
      <c r="C19" s="20" t="str">
        <f t="shared" si="1"/>
        <v>Iyun 18, 2018</v>
      </c>
      <c r="D19" s="21">
        <f t="shared" si="8"/>
        <v>0.83333333333333337</v>
      </c>
      <c r="E19" s="22" t="str">
        <f>AB44</f>
        <v>Belgiya</v>
      </c>
      <c r="F19" s="23"/>
      <c r="G19" s="24"/>
      <c r="H19" s="65" t="str">
        <f>AB45</f>
        <v>Panama</v>
      </c>
      <c r="J19" s="36"/>
      <c r="K19" s="37"/>
      <c r="L19" s="37"/>
      <c r="M19" s="37"/>
      <c r="N19" s="37"/>
      <c r="O19" s="37"/>
      <c r="P19" s="37"/>
      <c r="R19" s="56">
        <f>DATE(2018,6,18)+TIME(4,0,0)+gmt_delta</f>
        <v>43269.833333333328</v>
      </c>
      <c r="S19" s="63" t="str">
        <f t="shared" si="2"/>
        <v/>
      </c>
      <c r="T19" s="63" t="str">
        <f t="shared" si="3"/>
        <v/>
      </c>
      <c r="U19" s="57">
        <f t="shared" si="4"/>
        <v>0</v>
      </c>
      <c r="V19" s="56">
        <f t="shared" si="5"/>
        <v>0</v>
      </c>
      <c r="W19" s="56">
        <f t="shared" si="6"/>
        <v>0</v>
      </c>
      <c r="X19" s="56">
        <f t="shared" si="7"/>
        <v>0</v>
      </c>
      <c r="Y19" s="56" t="str">
        <f t="shared" si="9"/>
        <v/>
      </c>
      <c r="AH19" s="56">
        <f>MIN(AH14:AH17)</f>
        <v>0</v>
      </c>
      <c r="AI19" s="56">
        <f>MIN(AI14:AI17)</f>
        <v>0</v>
      </c>
      <c r="AY19" s="147"/>
      <c r="AZ19" s="30" t="str">
        <f>AO39</f>
        <v>2F</v>
      </c>
      <c r="BA19" s="31"/>
      <c r="BB19" s="32"/>
      <c r="BC19" s="33"/>
      <c r="BD19" s="25"/>
      <c r="BE19" s="25" t="str">
        <f>INDEX(T,24+MONTH(R70),lang) &amp; " " &amp; DAY(R70) &amp; ", " &amp; YEAR(R70)</f>
        <v>Iyul 6, 2018</v>
      </c>
      <c r="BF19" s="25"/>
      <c r="BG19" s="139">
        <f>TIME(HOUR(R70),MINUTE(R70),0)</f>
        <v>0.95833333333333337</v>
      </c>
      <c r="BH19" s="139"/>
      <c r="BI19" s="35"/>
      <c r="BJ19" s="25"/>
      <c r="BK19" s="25"/>
      <c r="BL19" s="25"/>
      <c r="BM19" s="25"/>
      <c r="BN19" s="25"/>
      <c r="BO19" s="35"/>
      <c r="BP19" s="25"/>
      <c r="BQ19" s="25"/>
      <c r="BR19" s="25"/>
      <c r="BS19" s="25"/>
      <c r="BT19" s="25"/>
    </row>
    <row r="20" spans="1:72" ht="15" customHeight="1" x14ac:dyDescent="0.25">
      <c r="A20" s="18">
        <v>14</v>
      </c>
      <c r="B20" s="19" t="str">
        <f t="shared" si="0"/>
        <v>Dush</v>
      </c>
      <c r="C20" s="20" t="str">
        <f t="shared" si="1"/>
        <v>Iyun 18, 2018</v>
      </c>
      <c r="D20" s="21">
        <f t="shared" si="8"/>
        <v>0.95833333333333337</v>
      </c>
      <c r="E20" s="22" t="str">
        <f>AB46</f>
        <v>Tunis</v>
      </c>
      <c r="F20" s="23"/>
      <c r="G20" s="24"/>
      <c r="H20" s="65" t="str">
        <f>AB47</f>
        <v>Angliya</v>
      </c>
      <c r="J20" s="75" t="str">
        <f>INDEX(T,9,lang) &amp; " " &amp; "C"</f>
        <v>Guruh C</v>
      </c>
      <c r="K20" s="76" t="str">
        <f>INDEX(T,10,lang)</f>
        <v>O'</v>
      </c>
      <c r="L20" s="76" t="str">
        <f>INDEX(T,11,lang)</f>
        <v>Yu</v>
      </c>
      <c r="M20" s="76" t="str">
        <f>INDEX(T,12,lang)</f>
        <v>D</v>
      </c>
      <c r="N20" s="76" t="str">
        <f>INDEX(T,13,lang)</f>
        <v>M</v>
      </c>
      <c r="O20" s="76" t="str">
        <f>INDEX(T,14,lang)</f>
        <v>UrGol-O'tGol</v>
      </c>
      <c r="P20" s="77" t="str">
        <f>INDEX(T,15,lang)</f>
        <v>Ochko</v>
      </c>
      <c r="R20" s="56">
        <f>DATE(2018,6,18)+TIME(7,0,0)+gmt_delta</f>
        <v>43269.958333333328</v>
      </c>
      <c r="S20" s="63" t="str">
        <f t="shared" si="2"/>
        <v/>
      </c>
      <c r="T20" s="63" t="str">
        <f t="shared" si="3"/>
        <v/>
      </c>
      <c r="U20" s="57">
        <f t="shared" si="4"/>
        <v>0</v>
      </c>
      <c r="V20" s="56">
        <f t="shared" si="5"/>
        <v>0</v>
      </c>
      <c r="W20" s="56">
        <f t="shared" si="6"/>
        <v>0</v>
      </c>
      <c r="X20" s="56">
        <f t="shared" si="7"/>
        <v>0</v>
      </c>
      <c r="Y20" s="56" t="str">
        <f t="shared" si="9"/>
        <v/>
      </c>
      <c r="AA20" s="56">
        <f>COUNTIF(AN20:AN23,CONCATENATE("&gt;=",AN20))</f>
        <v>1</v>
      </c>
      <c r="AB20" s="57" t="str">
        <f>VLOOKUP("France",T,lang,FALSE)</f>
        <v>Fransiya</v>
      </c>
      <c r="AC20" s="56">
        <f>COUNTIF($S$7:$T$54,"=" &amp; AB20 &amp; "_win")</f>
        <v>0</v>
      </c>
      <c r="AD20" s="56">
        <f>COUNTIF($S$7:$T$54,"=" &amp; AB20 &amp; "_draw")</f>
        <v>0</v>
      </c>
      <c r="AE20" s="56">
        <f>COUNTIF($S$7:$T$54,"=" &amp; AB20 &amp; "_lose")</f>
        <v>0</v>
      </c>
      <c r="AF20" s="56">
        <f>SUMIF($E$7:$E$54,$AB20,$F$7:$F$54) + SUMIF($H$7:$H$54,$AB20,$G$7:$G$54)</f>
        <v>0</v>
      </c>
      <c r="AG20" s="56">
        <f>SUMIF($E$7:$E$54,$AB20,$G$7:$G$54) + SUMIF($H$7:$H$54,$AB20,$F$7:$F$54)</f>
        <v>0</v>
      </c>
      <c r="AH20" s="56">
        <f>(AF20-AG20)*100+AK20*10000+AF20</f>
        <v>0</v>
      </c>
      <c r="AI20" s="56">
        <f>AF20-AG20</f>
        <v>0</v>
      </c>
      <c r="AJ20" s="56">
        <f>(AI20-AI25)/AI24</f>
        <v>0</v>
      </c>
      <c r="AK20" s="56">
        <f>AC20*3+AD20</f>
        <v>0</v>
      </c>
      <c r="AL20" s="56">
        <f>AP20/AP24*1000+AQ20/AQ24*100+AT20/AT24*10+AR20/AR24</f>
        <v>0</v>
      </c>
      <c r="AM20" s="56">
        <f>VLOOKUP(AB20,db_fifarank,2,FALSE)/2000000</f>
        <v>5.9150000000000001E-4</v>
      </c>
      <c r="AN20" s="57">
        <f>1000*AK20/AK24+100*AJ20+10*AF20/AF24+1*AL20/AL24+AM20</f>
        <v>5.9150000000000001E-4</v>
      </c>
      <c r="AO20" s="58" t="str">
        <f>IF(SUM(AC20:AE23)=12,J21,INDEX(T,74,lang))</f>
        <v>1C</v>
      </c>
      <c r="AP20" s="59">
        <f>SUMPRODUCT(($S$7:$S$54=AB20&amp;"_win")*($U$7:$U$54))+SUMPRODUCT(($T$7:$T$54=AB20&amp;"_win")*($U$7:$U$54))</f>
        <v>0</v>
      </c>
      <c r="AQ20" s="60">
        <f>SUMPRODUCT(($S$7:$S$54=AB20&amp;"_draw")*($U$7:$U$54))+SUMPRODUCT(($T$7:$T$54=AB20&amp;"_draw")*($U$7:$U$54))</f>
        <v>0</v>
      </c>
      <c r="AR20" s="60">
        <f>SUMPRODUCT(($E$7:$E$54=AB20)*($U$7:$U$54)*($F$7:$F$54))+SUMPRODUCT(($H$7:$H$54=AB20)*($U$7:$U$54)*($G$7:$G$54))</f>
        <v>0</v>
      </c>
      <c r="AS20" s="60">
        <f>SUMPRODUCT(($E$7:$E$54=AB20)*($U$7:$U$54)*($G$7:$G$54))+SUMPRODUCT(($H$7:$H$54=AB20)*($U$7:$U$54)*($F$7:$F$54))</f>
        <v>0</v>
      </c>
      <c r="AT20" s="60">
        <f>AR20-AS20</f>
        <v>0</v>
      </c>
      <c r="AY20" s="25"/>
      <c r="AZ20" s="25"/>
      <c r="BA20" s="25"/>
      <c r="BB20" s="25"/>
      <c r="BC20" s="35"/>
      <c r="BD20" s="25"/>
      <c r="BE20" s="146">
        <v>58</v>
      </c>
      <c r="BF20" s="27" t="str">
        <f>T62</f>
        <v>W53</v>
      </c>
      <c r="BG20" s="28"/>
      <c r="BH20" s="29"/>
      <c r="BI20" s="39"/>
      <c r="BJ20" s="25"/>
      <c r="BK20" s="25"/>
      <c r="BL20" s="25"/>
      <c r="BM20" s="25"/>
      <c r="BN20" s="25"/>
      <c r="BO20" s="35"/>
      <c r="BP20" s="25"/>
      <c r="BQ20" s="25"/>
      <c r="BR20" s="25"/>
      <c r="BS20" s="25"/>
      <c r="BT20" s="25"/>
    </row>
    <row r="21" spans="1:72" ht="15" customHeight="1" x14ac:dyDescent="0.25">
      <c r="A21" s="18">
        <v>15</v>
      </c>
      <c r="B21" s="19" t="str">
        <f t="shared" si="0"/>
        <v>Sesh</v>
      </c>
      <c r="C21" s="20" t="str">
        <f t="shared" si="1"/>
        <v>Iyun 19, 2018</v>
      </c>
      <c r="D21" s="21">
        <f t="shared" si="8"/>
        <v>0.83333333333333337</v>
      </c>
      <c r="E21" s="22" t="str">
        <f>AB50</f>
        <v>Polsha</v>
      </c>
      <c r="F21" s="23"/>
      <c r="G21" s="24"/>
      <c r="H21" s="65" t="str">
        <f>AB51</f>
        <v>Senegal</v>
      </c>
      <c r="J21" s="67" t="str">
        <f>VLOOKUP(1,AA20:AK23,2,FALSE)</f>
        <v>Fransiya</v>
      </c>
      <c r="K21" s="68">
        <f>L21+M21+N21</f>
        <v>0</v>
      </c>
      <c r="L21" s="68">
        <f>VLOOKUP(1,AA20:AK23,3,FALSE)</f>
        <v>0</v>
      </c>
      <c r="M21" s="68">
        <f>VLOOKUP(1,AA20:AK23,4,FALSE)</f>
        <v>0</v>
      </c>
      <c r="N21" s="68">
        <f>VLOOKUP(1,AA20:AK23,5,FALSE)</f>
        <v>0</v>
      </c>
      <c r="O21" s="68" t="str">
        <f>VLOOKUP(1,AA20:AK23,6,FALSE) &amp; " - " &amp; VLOOKUP(1,AA20:AK23,7,FALSE)</f>
        <v>0 - 0</v>
      </c>
      <c r="P21" s="69">
        <f>L21*3+M21</f>
        <v>0</v>
      </c>
      <c r="R21" s="56">
        <f>DATE(2018,6,19)+TIME(4,0,0)+gmt_delta</f>
        <v>43270.833333333328</v>
      </c>
      <c r="S21" s="63" t="str">
        <f t="shared" si="2"/>
        <v/>
      </c>
      <c r="T21" s="63" t="str">
        <f t="shared" si="3"/>
        <v/>
      </c>
      <c r="U21" s="57">
        <f t="shared" si="4"/>
        <v>0</v>
      </c>
      <c r="V21" s="56">
        <f t="shared" si="5"/>
        <v>0</v>
      </c>
      <c r="W21" s="56">
        <f t="shared" si="6"/>
        <v>0</v>
      </c>
      <c r="X21" s="56">
        <f t="shared" si="7"/>
        <v>0</v>
      </c>
      <c r="Y21" s="56" t="str">
        <f t="shared" si="9"/>
        <v/>
      </c>
      <c r="AA21" s="56">
        <f>COUNTIF(AN20:AN23,CONCATENATE("&gt;=",AN21))</f>
        <v>4</v>
      </c>
      <c r="AB21" s="57" t="str">
        <f>VLOOKUP("Australia",T,lang,FALSE)</f>
        <v>Avstraliya</v>
      </c>
      <c r="AC21" s="56">
        <f>COUNTIF($S$7:$T$54,"=" &amp; AB21 &amp; "_win")</f>
        <v>0</v>
      </c>
      <c r="AD21" s="56">
        <f>COUNTIF($S$7:$T$54,"=" &amp; AB21 &amp; "_draw")</f>
        <v>0</v>
      </c>
      <c r="AE21" s="56">
        <f>COUNTIF($S$7:$T$54,"=" &amp; AB21 &amp; "_lose")</f>
        <v>0</v>
      </c>
      <c r="AF21" s="56">
        <f>SUMIF($E$7:$E$54,$AB21,$F$7:$F$54) + SUMIF($H$7:$H$54,$AB21,$G$7:$G$54)</f>
        <v>0</v>
      </c>
      <c r="AG21" s="56">
        <f>SUMIF($E$7:$E$54,$AB21,$G$7:$G$54) + SUMIF($H$7:$H$54,$AB21,$F$7:$F$54)</f>
        <v>0</v>
      </c>
      <c r="AH21" s="56">
        <f>(AF21-AG21)*100+AK21*10000+AF21</f>
        <v>0</v>
      </c>
      <c r="AI21" s="56">
        <f>AF21-AG21</f>
        <v>0</v>
      </c>
      <c r="AJ21" s="56">
        <f>(AI21-AI25)/AI24</f>
        <v>0</v>
      </c>
      <c r="AK21" s="56">
        <f>AC21*3+AD21</f>
        <v>0</v>
      </c>
      <c r="AL21" s="56">
        <f>AP21/AP24*1000+AQ21/AQ24*100+AT21/AT24*10+AR21/AR24</f>
        <v>0</v>
      </c>
      <c r="AM21" s="56">
        <f>VLOOKUP(AB21,db_fifarank,2,FALSE)/2000000</f>
        <v>3.7350000000000003E-4</v>
      </c>
      <c r="AN21" s="57">
        <f>1000*AK21/AK24+100*AJ21+10*AF21/AF24+1*AL21/AL24+AM21</f>
        <v>3.7350000000000003E-4</v>
      </c>
      <c r="AO21" s="58" t="str">
        <f>IF(SUM(AC20:AE23)=12,J22,INDEX(T,75,lang))</f>
        <v>2C</v>
      </c>
      <c r="AP21" s="59">
        <f>SUMPRODUCT(($S$7:$S$54=AB21&amp;"_win")*($U$7:$U$54))+SUMPRODUCT(($T$7:$T$54=AB21&amp;"_win")*($U$7:$U$54))</f>
        <v>0</v>
      </c>
      <c r="AQ21" s="60">
        <f>SUMPRODUCT(($S$7:$S$54=AB21&amp;"_draw")*($U$7:$U$54))+SUMPRODUCT(($T$7:$T$54=AB21&amp;"_draw")*($U$7:$U$54))</f>
        <v>0</v>
      </c>
      <c r="AR21" s="60">
        <f>SUMPRODUCT(($E$7:$E$54=AB21)*($U$7:$U$54)*($F$7:$F$54))+SUMPRODUCT(($H$7:$H$54=AB21)*($U$7:$U$54)*($G$7:$G$54))</f>
        <v>0</v>
      </c>
      <c r="AS21" s="60">
        <f>SUMPRODUCT(($E$7:$E$54=AB21)*($U$7:$U$54)*($G$7:$G$54))+SUMPRODUCT(($H$7:$H$54=AB21)*($U$7:$U$54)*($F$7:$F$54))</f>
        <v>0</v>
      </c>
      <c r="AT21" s="60">
        <f>AR21-AS21</f>
        <v>0</v>
      </c>
      <c r="AY21" s="25" t="str">
        <f>INDEX(T,24+MONTH(R63),lang) &amp; " " &amp; DAY(R63) &amp; ", " &amp; YEAR(R63)</f>
        <v>Iyul 2, 2018</v>
      </c>
      <c r="AZ21" s="25"/>
      <c r="BA21" s="139">
        <f>TIME(HOUR(R63),MINUTE(R63),0)</f>
        <v>0.95833333333333337</v>
      </c>
      <c r="BB21" s="139"/>
      <c r="BC21" s="35"/>
      <c r="BD21" s="38"/>
      <c r="BE21" s="147"/>
      <c r="BF21" s="30" t="str">
        <f>T63</f>
        <v>W54</v>
      </c>
      <c r="BG21" s="31"/>
      <c r="BH21" s="32"/>
      <c r="BI21" s="25"/>
      <c r="BJ21" s="25"/>
      <c r="BK21" s="25"/>
      <c r="BL21" s="25"/>
      <c r="BM21" s="25"/>
      <c r="BN21" s="25"/>
      <c r="BO21" s="35"/>
      <c r="BP21" s="25"/>
      <c r="BQ21" s="25"/>
      <c r="BR21" s="25"/>
      <c r="BS21" s="25"/>
      <c r="BT21" s="25"/>
    </row>
    <row r="22" spans="1:72" ht="15" customHeight="1" x14ac:dyDescent="0.25">
      <c r="A22" s="18">
        <v>16</v>
      </c>
      <c r="B22" s="19" t="str">
        <f t="shared" si="0"/>
        <v>Sesh</v>
      </c>
      <c r="C22" s="20" t="str">
        <f t="shared" si="1"/>
        <v>Iyun 19, 2018</v>
      </c>
      <c r="D22" s="21">
        <f t="shared" si="8"/>
        <v>0.70833333333333337</v>
      </c>
      <c r="E22" s="22" t="str">
        <f>AB52</f>
        <v>Kolumbiya</v>
      </c>
      <c r="F22" s="23"/>
      <c r="G22" s="24"/>
      <c r="H22" s="65" t="str">
        <f>AB53</f>
        <v>Yaponiya</v>
      </c>
      <c r="J22" s="70" t="str">
        <f>VLOOKUP(2,AA20:AK23,2,FALSE)</f>
        <v>Peru</v>
      </c>
      <c r="K22" s="26">
        <f>L22+M22+N22</f>
        <v>0</v>
      </c>
      <c r="L22" s="26">
        <f>VLOOKUP(2,AA20:AK23,3,FALSE)</f>
        <v>0</v>
      </c>
      <c r="M22" s="26">
        <f>VLOOKUP(2,AA20:AK23,4,FALSE)</f>
        <v>0</v>
      </c>
      <c r="N22" s="26">
        <f>VLOOKUP(2,AA20:AK23,5,FALSE)</f>
        <v>0</v>
      </c>
      <c r="O22" s="26" t="str">
        <f>VLOOKUP(2,AA20:AK23,6,FALSE) &amp; " - " &amp; VLOOKUP(2,AA20:AK23,7,FALSE)</f>
        <v>0 - 0</v>
      </c>
      <c r="P22" s="71">
        <f>L22*3+M22</f>
        <v>0</v>
      </c>
      <c r="R22" s="56">
        <f>DATE(2018,6,19)+TIME(1,0,0)+gmt_delta</f>
        <v>43270.708333333328</v>
      </c>
      <c r="S22" s="63" t="str">
        <f t="shared" si="2"/>
        <v/>
      </c>
      <c r="T22" s="63" t="str">
        <f t="shared" si="3"/>
        <v/>
      </c>
      <c r="U22" s="57">
        <f t="shared" si="4"/>
        <v>0</v>
      </c>
      <c r="V22" s="56">
        <f t="shared" si="5"/>
        <v>0</v>
      </c>
      <c r="W22" s="56">
        <f t="shared" si="6"/>
        <v>0</v>
      </c>
      <c r="X22" s="56">
        <f t="shared" si="7"/>
        <v>0</v>
      </c>
      <c r="Y22" s="56" t="str">
        <f t="shared" si="9"/>
        <v/>
      </c>
      <c r="AA22" s="56">
        <f>COUNTIF(AN20:AN23,CONCATENATE("&gt;=",AN22))</f>
        <v>2</v>
      </c>
      <c r="AB22" s="57" t="str">
        <f>VLOOKUP("Peru",T,lang,FALSE)</f>
        <v>Peru</v>
      </c>
      <c r="AC22" s="56">
        <f>COUNTIF($S$7:$T$54,"=" &amp; AB22 &amp; "_win")</f>
        <v>0</v>
      </c>
      <c r="AD22" s="56">
        <f>COUNTIF($S$7:$T$54,"=" &amp; AB22 &amp; "_draw")</f>
        <v>0</v>
      </c>
      <c r="AE22" s="56">
        <f>COUNTIF($S$7:$T$54,"=" &amp; AB22 &amp; "_lose")</f>
        <v>0</v>
      </c>
      <c r="AF22" s="56">
        <f>SUMIF($E$7:$E$54,$AB22,$F$7:$F$54) + SUMIF($H$7:$H$54,$AB22,$G$7:$G$54)</f>
        <v>0</v>
      </c>
      <c r="AG22" s="56">
        <f>SUMIF($E$7:$E$54,$AB22,$G$7:$G$54) + SUMIF($H$7:$H$54,$AB22,$F$7:$F$54)</f>
        <v>0</v>
      </c>
      <c r="AH22" s="56">
        <f>(AF22-AG22)*100+AK22*10000+AF22</f>
        <v>0</v>
      </c>
      <c r="AI22" s="56">
        <f>AF22-AG22</f>
        <v>0</v>
      </c>
      <c r="AJ22" s="56">
        <f>(AI22-AI25)/AI24</f>
        <v>0</v>
      </c>
      <c r="AK22" s="56">
        <f>AC22*3+AD22</f>
        <v>0</v>
      </c>
      <c r="AL22" s="56">
        <f>AP22/AP24*1000+AQ22/AQ24*100+AT22/AT24*10+AR22/AR24</f>
        <v>0</v>
      </c>
      <c r="AM22" s="56">
        <f>VLOOKUP(AB22,db_fifarank,2,FALSE)/2000000</f>
        <v>5.6400000000000005E-4</v>
      </c>
      <c r="AN22" s="57">
        <f>1000*AK22/AK24+100*AJ22+10*AF22/AF24+1*AL22/AL24+AM22</f>
        <v>5.6400000000000005E-4</v>
      </c>
      <c r="AP22" s="59">
        <f>SUMPRODUCT(($S$7:$S$54=AB22&amp;"_win")*($U$7:$U$54))+SUMPRODUCT(($T$7:$T$54=AB22&amp;"_win")*($U$7:$U$54))</f>
        <v>0</v>
      </c>
      <c r="AQ22" s="60">
        <f>SUMPRODUCT(($S$7:$S$54=AB22&amp;"_draw")*($U$7:$U$54))+SUMPRODUCT(($T$7:$T$54=AB22&amp;"_draw")*($U$7:$U$54))</f>
        <v>0</v>
      </c>
      <c r="AR22" s="60">
        <f>SUMPRODUCT(($E$7:$E$54=AB22)*($U$7:$U$54)*($F$7:$F$54))+SUMPRODUCT(($H$7:$H$54=AB22)*($U$7:$U$54)*($G$7:$G$54))</f>
        <v>0</v>
      </c>
      <c r="AS22" s="60">
        <f>SUMPRODUCT(($E$7:$E$54=AB22)*($U$7:$U$54)*($G$7:$G$54))+SUMPRODUCT(($H$7:$H$54=AB22)*($U$7:$U$54)*($F$7:$F$54))</f>
        <v>0</v>
      </c>
      <c r="AT22" s="60">
        <f>AR22-AS22</f>
        <v>0</v>
      </c>
      <c r="AY22" s="146">
        <v>54</v>
      </c>
      <c r="AZ22" s="27" t="str">
        <f>AO44</f>
        <v>1G</v>
      </c>
      <c r="BA22" s="28"/>
      <c r="BB22" s="29"/>
      <c r="BC22" s="39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35"/>
      <c r="BP22" s="25"/>
      <c r="BQ22" s="25" t="str">
        <f>INDEX(T,24+MONTH(R85),lang) &amp; " " &amp; DAY(R85) &amp; ", " &amp; YEAR(R85)</f>
        <v>Iyul 15, 2018</v>
      </c>
      <c r="BR22" s="25"/>
      <c r="BS22" s="139">
        <f>TIME(HOUR(R85),MINUTE(R85),0)</f>
        <v>0.83333333333333337</v>
      </c>
      <c r="BT22" s="139"/>
    </row>
    <row r="23" spans="1:72" ht="15" customHeight="1" x14ac:dyDescent="0.25">
      <c r="A23" s="18">
        <v>17</v>
      </c>
      <c r="B23" s="19" t="str">
        <f t="shared" si="0"/>
        <v>Sesh</v>
      </c>
      <c r="C23" s="20" t="str">
        <f t="shared" si="1"/>
        <v>Iyun 19, 2018</v>
      </c>
      <c r="D23" s="21">
        <f t="shared" si="8"/>
        <v>0.95833333333333337</v>
      </c>
      <c r="E23" s="22" t="str">
        <f>AB8</f>
        <v>Rossiya</v>
      </c>
      <c r="F23" s="23"/>
      <c r="G23" s="24"/>
      <c r="H23" s="65" t="str">
        <f>AB10</f>
        <v>Misr</v>
      </c>
      <c r="J23" s="70" t="str">
        <f>VLOOKUP(3,AA20:AK23,2,FALSE)</f>
        <v>Daniya</v>
      </c>
      <c r="K23" s="26">
        <f>L23+M23+N23</f>
        <v>0</v>
      </c>
      <c r="L23" s="26">
        <f>VLOOKUP(3,AA20:AK23,3,FALSE)</f>
        <v>0</v>
      </c>
      <c r="M23" s="26">
        <f>VLOOKUP(3,AA20:AK23,4,FALSE)</f>
        <v>0</v>
      </c>
      <c r="N23" s="26">
        <f>VLOOKUP(3,AA20:AK23,5,FALSE)</f>
        <v>0</v>
      </c>
      <c r="O23" s="26" t="str">
        <f>VLOOKUP(3,AA20:AK23,6,FALSE) &amp; " - " &amp; VLOOKUP(3,AA20:AK23,7,FALSE)</f>
        <v>0 - 0</v>
      </c>
      <c r="P23" s="71">
        <f>L23*3+M23</f>
        <v>0</v>
      </c>
      <c r="R23" s="56">
        <f>DATE(2018,6,19)+TIME(7,0,0)+gmt_delta</f>
        <v>43270.958333333328</v>
      </c>
      <c r="S23" s="63" t="str">
        <f t="shared" si="2"/>
        <v/>
      </c>
      <c r="T23" s="63" t="str">
        <f t="shared" si="3"/>
        <v/>
      </c>
      <c r="U23" s="57">
        <f t="shared" si="4"/>
        <v>0</v>
      </c>
      <c r="V23" s="56">
        <f t="shared" si="5"/>
        <v>0</v>
      </c>
      <c r="W23" s="56">
        <f t="shared" si="6"/>
        <v>0</v>
      </c>
      <c r="X23" s="56">
        <f t="shared" si="7"/>
        <v>0</v>
      </c>
      <c r="Y23" s="56" t="str">
        <f t="shared" si="9"/>
        <v/>
      </c>
      <c r="AA23" s="56">
        <f>COUNTIF(AN20:AN23,CONCATENATE("&gt;=",AN23))</f>
        <v>3</v>
      </c>
      <c r="AB23" s="57" t="str">
        <f>VLOOKUP("Denmark",T,lang,FALSE)</f>
        <v>Daniya</v>
      </c>
      <c r="AC23" s="56">
        <f>COUNTIF($S$7:$T$54,"=" &amp; AB23 &amp; "_win")</f>
        <v>0</v>
      </c>
      <c r="AD23" s="56">
        <f>COUNTIF($S$7:$T$54,"=" &amp; AB23 &amp; "_draw")</f>
        <v>0</v>
      </c>
      <c r="AE23" s="56">
        <f>COUNTIF($S$7:$T$54,"=" &amp; AB23 &amp; "_lose")</f>
        <v>0</v>
      </c>
      <c r="AF23" s="56">
        <f>SUMIF($E$7:$E$54,$AB23,$F$7:$F$54) + SUMIF($H$7:$H$54,$AB23,$G$7:$G$54)</f>
        <v>0</v>
      </c>
      <c r="AG23" s="56">
        <f>SUMIF($E$7:$E$54,$AB23,$G$7:$G$54) + SUMIF($H$7:$H$54,$AB23,$F$7:$F$54)</f>
        <v>0</v>
      </c>
      <c r="AH23" s="56">
        <f>(AF23-AG23)*100+AK23*10000+AF23</f>
        <v>0</v>
      </c>
      <c r="AI23" s="56">
        <f>AF23-AG23</f>
        <v>0</v>
      </c>
      <c r="AJ23" s="56">
        <f>(AI23-AI25)/AI24</f>
        <v>0</v>
      </c>
      <c r="AK23" s="56">
        <f>AC23*3+AD23</f>
        <v>0</v>
      </c>
      <c r="AL23" s="56">
        <f>AP23/AP24*1000+AQ23/AQ24*100+AT23/AT24*10+AR23/AR24</f>
        <v>0</v>
      </c>
      <c r="AM23" s="56">
        <f>VLOOKUP(AB23,db_fifarank,2,FALSE)/2000000</f>
        <v>5.4949999999999997E-4</v>
      </c>
      <c r="AN23" s="57">
        <f>1000*AK23/AK24+100*AJ23+10*AF23/AF24+1*AL23/AL24+AM23</f>
        <v>5.4949999999999997E-4</v>
      </c>
      <c r="AP23" s="59">
        <f>SUMPRODUCT(($S$7:$S$54=AB23&amp;"_win")*($U$7:$U$54))+SUMPRODUCT(($T$7:$T$54=AB23&amp;"_win")*($U$7:$U$54))</f>
        <v>0</v>
      </c>
      <c r="AQ23" s="60">
        <f>SUMPRODUCT(($S$7:$S$54=AB23&amp;"_draw")*($U$7:$U$54))+SUMPRODUCT(($T$7:$T$54=AB23&amp;"_draw")*($U$7:$U$54))</f>
        <v>0</v>
      </c>
      <c r="AR23" s="60">
        <f>SUMPRODUCT(($E$7:$E$54=AB23)*($U$7:$U$54)*($F$7:$F$54))+SUMPRODUCT(($H$7:$H$54=AB23)*($U$7:$U$54)*($G$7:$G$54))</f>
        <v>0</v>
      </c>
      <c r="AS23" s="60">
        <f>SUMPRODUCT(($E$7:$E$54=AB23)*($U$7:$U$54)*($G$7:$G$54))+SUMPRODUCT(($H$7:$H$54=AB23)*($U$7:$U$54)*($F$7:$F$54))</f>
        <v>0</v>
      </c>
      <c r="AT23" s="60">
        <f>AR23-AS23</f>
        <v>0</v>
      </c>
      <c r="AY23" s="147"/>
      <c r="AZ23" s="30" t="str">
        <f>AO51</f>
        <v>2H</v>
      </c>
      <c r="BA23" s="31"/>
      <c r="BB23" s="32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35"/>
      <c r="BP23" s="25"/>
      <c r="BQ23" s="146">
        <v>64</v>
      </c>
      <c r="BR23" s="27" t="str">
        <f>T76</f>
        <v>W61</v>
      </c>
      <c r="BS23" s="28"/>
      <c r="BT23" s="29"/>
    </row>
    <row r="24" spans="1:72" ht="15" customHeight="1" x14ac:dyDescent="0.25">
      <c r="A24" s="18">
        <v>18</v>
      </c>
      <c r="B24" s="19" t="str">
        <f t="shared" si="0"/>
        <v>Chor</v>
      </c>
      <c r="C24" s="20" t="str">
        <f t="shared" si="1"/>
        <v>Iyun 20, 2018</v>
      </c>
      <c r="D24" s="21">
        <f t="shared" si="8"/>
        <v>0.83333333333333337</v>
      </c>
      <c r="E24" s="22" t="str">
        <f>AB11</f>
        <v>Urugvay</v>
      </c>
      <c r="F24" s="23"/>
      <c r="G24" s="24"/>
      <c r="H24" s="65" t="str">
        <f>AB9</f>
        <v>Saudiya Arabistoni</v>
      </c>
      <c r="J24" s="72" t="str">
        <f>VLOOKUP(4,AA20:AK23,2,FALSE)</f>
        <v>Avstraliya</v>
      </c>
      <c r="K24" s="73">
        <f>L24+M24+N24</f>
        <v>0</v>
      </c>
      <c r="L24" s="73">
        <f>VLOOKUP(4,AA20:AK23,3,FALSE)</f>
        <v>0</v>
      </c>
      <c r="M24" s="73">
        <f>VLOOKUP(4,AA20:AK23,4,FALSE)</f>
        <v>0</v>
      </c>
      <c r="N24" s="73">
        <f>VLOOKUP(4,AA20:AK23,5,FALSE)</f>
        <v>0</v>
      </c>
      <c r="O24" s="73" t="str">
        <f>VLOOKUP(4,AA20:AK23,6,FALSE) &amp; " - " &amp; VLOOKUP(4,AA20:AK23,7,FALSE)</f>
        <v>0 - 0</v>
      </c>
      <c r="P24" s="74">
        <f>L24*3+M24</f>
        <v>0</v>
      </c>
      <c r="R24" s="56">
        <f>DATE(2018,6,20)+TIME(4,0,0)+gmt_delta</f>
        <v>43271.833333333328</v>
      </c>
      <c r="S24" s="63" t="str">
        <f t="shared" si="2"/>
        <v/>
      </c>
      <c r="T24" s="63" t="str">
        <f t="shared" si="3"/>
        <v/>
      </c>
      <c r="U24" s="57">
        <f t="shared" si="4"/>
        <v>0</v>
      </c>
      <c r="V24" s="56">
        <f t="shared" si="5"/>
        <v>0</v>
      </c>
      <c r="W24" s="56">
        <f t="shared" si="6"/>
        <v>0</v>
      </c>
      <c r="X24" s="56">
        <f t="shared" si="7"/>
        <v>0</v>
      </c>
      <c r="Y24" s="56" t="str">
        <f t="shared" si="9"/>
        <v/>
      </c>
      <c r="AC24" s="56">
        <f t="shared" ref="AC24:AL24" si="12">MAX(AC20:AC23)-MIN(AC20:AC23)+1</f>
        <v>1</v>
      </c>
      <c r="AD24" s="56">
        <f t="shared" si="12"/>
        <v>1</v>
      </c>
      <c r="AE24" s="56">
        <f t="shared" si="12"/>
        <v>1</v>
      </c>
      <c r="AF24" s="56">
        <f t="shared" si="12"/>
        <v>1</v>
      </c>
      <c r="AG24" s="56">
        <f t="shared" si="12"/>
        <v>1</v>
      </c>
      <c r="AH24" s="56">
        <f>MAX(AH20:AH23)-AH25+1</f>
        <v>1</v>
      </c>
      <c r="AI24" s="56">
        <f>MAX(AI20:AI23)-AI25+1</f>
        <v>1</v>
      </c>
      <c r="AK24" s="56">
        <f t="shared" si="12"/>
        <v>1</v>
      </c>
      <c r="AL24" s="56">
        <f t="shared" si="12"/>
        <v>1</v>
      </c>
      <c r="AP24" s="56">
        <f>MAX(AP20:AP23)-MIN(AP20:AP23)+1</f>
        <v>1</v>
      </c>
      <c r="AQ24" s="56">
        <f>MAX(AQ20:AQ23)-MIN(AQ20:AQ23)+1</f>
        <v>1</v>
      </c>
      <c r="AR24" s="56">
        <f>MAX(AR20:AR23)-MIN(AR20:AR23)+1</f>
        <v>1</v>
      </c>
      <c r="AS24" s="56">
        <f>MAX(AS20:AS23)-MIN(AS20:AS23)+1</f>
        <v>1</v>
      </c>
      <c r="AT24" s="56">
        <f>MAX(AT20:AT23)-MIN(AT20:AT23)+1</f>
        <v>1</v>
      </c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35"/>
      <c r="BP24" s="38"/>
      <c r="BQ24" s="147"/>
      <c r="BR24" s="30" t="str">
        <f>T77</f>
        <v>W62</v>
      </c>
      <c r="BS24" s="31"/>
      <c r="BT24" s="32"/>
    </row>
    <row r="25" spans="1:72" ht="15" customHeight="1" x14ac:dyDescent="0.25">
      <c r="A25" s="18">
        <v>19</v>
      </c>
      <c r="B25" s="19" t="str">
        <f t="shared" si="0"/>
        <v>Chor</v>
      </c>
      <c r="C25" s="20" t="str">
        <f t="shared" si="1"/>
        <v>Iyun 20, 2018</v>
      </c>
      <c r="D25" s="21">
        <f t="shared" si="8"/>
        <v>0.70833333333333337</v>
      </c>
      <c r="E25" s="22" t="str">
        <f>AB14</f>
        <v>Portugaliya</v>
      </c>
      <c r="F25" s="23"/>
      <c r="G25" s="24"/>
      <c r="H25" s="65" t="str">
        <f>AB16</f>
        <v>Marokash</v>
      </c>
      <c r="J25" s="36"/>
      <c r="K25" s="37"/>
      <c r="L25" s="37"/>
      <c r="M25" s="37"/>
      <c r="N25" s="37"/>
      <c r="O25" s="37"/>
      <c r="P25" s="37"/>
      <c r="R25" s="56">
        <f>DATE(2018,6,20)+TIME(1,0,0)+gmt_delta</f>
        <v>43271.708333333328</v>
      </c>
      <c r="S25" s="63" t="str">
        <f t="shared" si="2"/>
        <v/>
      </c>
      <c r="T25" s="63" t="str">
        <f t="shared" si="3"/>
        <v/>
      </c>
      <c r="U25" s="57">
        <f t="shared" si="4"/>
        <v>0</v>
      </c>
      <c r="V25" s="56">
        <f t="shared" si="5"/>
        <v>0</v>
      </c>
      <c r="W25" s="56">
        <f t="shared" si="6"/>
        <v>0</v>
      </c>
      <c r="X25" s="56">
        <f t="shared" si="7"/>
        <v>0</v>
      </c>
      <c r="Y25" s="56" t="str">
        <f t="shared" si="9"/>
        <v/>
      </c>
      <c r="AH25" s="56">
        <f>MIN(AH20:AH23)</f>
        <v>0</v>
      </c>
      <c r="AI25" s="56">
        <f>MIN(AI20:AI23)</f>
        <v>0</v>
      </c>
      <c r="AY25" s="25" t="str">
        <f>INDEX(T,24+MONTH(R60),lang) &amp; " " &amp; DAY(R60) &amp; ", " &amp; YEAR(R60)</f>
        <v>Iyul 1, 2018</v>
      </c>
      <c r="AZ25" s="25"/>
      <c r="BA25" s="139">
        <f>TIME(HOUR(R60),MINUTE(R60),0)</f>
        <v>0.79166666666666663</v>
      </c>
      <c r="BB25" s="139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35"/>
      <c r="BP25" s="25"/>
      <c r="BQ25" s="25"/>
      <c r="BR25" s="25"/>
      <c r="BS25" s="25"/>
      <c r="BT25" s="25"/>
    </row>
    <row r="26" spans="1:72" ht="15" customHeight="1" x14ac:dyDescent="0.25">
      <c r="A26" s="18">
        <v>20</v>
      </c>
      <c r="B26" s="19" t="str">
        <f t="shared" si="0"/>
        <v>Chor</v>
      </c>
      <c r="C26" s="20" t="str">
        <f t="shared" si="1"/>
        <v>Iyun 20, 2018</v>
      </c>
      <c r="D26" s="21">
        <f t="shared" si="8"/>
        <v>0.95833333333333337</v>
      </c>
      <c r="E26" s="22" t="str">
        <f>AB17</f>
        <v>Eron</v>
      </c>
      <c r="F26" s="23"/>
      <c r="G26" s="24"/>
      <c r="H26" s="65" t="str">
        <f>AB15</f>
        <v>Ispaniya</v>
      </c>
      <c r="J26" s="75" t="str">
        <f>INDEX(T,9,lang) &amp; " " &amp; "D"</f>
        <v>Guruh D</v>
      </c>
      <c r="K26" s="76" t="str">
        <f>INDEX(T,10,lang)</f>
        <v>O'</v>
      </c>
      <c r="L26" s="76" t="str">
        <f>INDEX(T,11,lang)</f>
        <v>Yu</v>
      </c>
      <c r="M26" s="76" t="str">
        <f>INDEX(T,12,lang)</f>
        <v>D</v>
      </c>
      <c r="N26" s="76" t="str">
        <f>INDEX(T,13,lang)</f>
        <v>M</v>
      </c>
      <c r="O26" s="76" t="str">
        <f>INDEX(T,14,lang)</f>
        <v>UrGol-O'tGol</v>
      </c>
      <c r="P26" s="77" t="str">
        <f>INDEX(T,15,lang)</f>
        <v>Ochko</v>
      </c>
      <c r="R26" s="56">
        <f>DATE(2018,6,20)+TIME(7,0,0)+gmt_delta</f>
        <v>43271.958333333328</v>
      </c>
      <c r="S26" s="63" t="str">
        <f t="shared" si="2"/>
        <v/>
      </c>
      <c r="T26" s="63" t="str">
        <f t="shared" si="3"/>
        <v/>
      </c>
      <c r="U26" s="57">
        <f t="shared" si="4"/>
        <v>0</v>
      </c>
      <c r="V26" s="56">
        <f t="shared" si="5"/>
        <v>0</v>
      </c>
      <c r="W26" s="56">
        <f t="shared" si="6"/>
        <v>0</v>
      </c>
      <c r="X26" s="56">
        <f t="shared" si="7"/>
        <v>0</v>
      </c>
      <c r="Y26" s="56" t="str">
        <f t="shared" si="9"/>
        <v/>
      </c>
      <c r="AA26" s="56">
        <f>COUNTIF(AN26:AN29,CONCATENATE("&gt;=",AN26))</f>
        <v>1</v>
      </c>
      <c r="AB26" s="57" t="str">
        <f>VLOOKUP("Argentina",T,lang,FALSE)</f>
        <v>Argentina</v>
      </c>
      <c r="AC26" s="56">
        <f>COUNTIF($S$7:$T$54,"=" &amp; AB26 &amp; "_win")</f>
        <v>0</v>
      </c>
      <c r="AD26" s="56">
        <f>COUNTIF($S$7:$T$54,"=" &amp; AB26 &amp; "_draw")</f>
        <v>0</v>
      </c>
      <c r="AE26" s="56">
        <f>COUNTIF($S$7:$T$54,"=" &amp; AB26 &amp; "_lose")</f>
        <v>0</v>
      </c>
      <c r="AF26" s="56">
        <f>SUMIF($E$7:$E$54,$AB26,$F$7:$F$54) + SUMIF($H$7:$H$54,$AB26,$G$7:$G$54)</f>
        <v>0</v>
      </c>
      <c r="AG26" s="56">
        <f>SUMIF($E$7:$E$54,$AB26,$G$7:$G$54) + SUMIF($H$7:$H$54,$AB26,$F$7:$F$54)</f>
        <v>0</v>
      </c>
      <c r="AH26" s="56">
        <f>(AF26-AG26)*100+AK26*10000+AF26</f>
        <v>0</v>
      </c>
      <c r="AI26" s="56">
        <f>AF26-AG26</f>
        <v>0</v>
      </c>
      <c r="AJ26" s="56">
        <f>(AI26-AI31)/AI30</f>
        <v>0</v>
      </c>
      <c r="AK26" s="56">
        <f>AC26*3+AD26</f>
        <v>0</v>
      </c>
      <c r="AL26" s="56">
        <f>AP26/AP30*1000+AQ26/AQ30*100+AT26/AT30*10+AR26/AR30</f>
        <v>0</v>
      </c>
      <c r="AM26" s="56">
        <f>VLOOKUP(AB26,db_fifarank,2,FALSE)/2000000</f>
        <v>6.7400000000000001E-4</v>
      </c>
      <c r="AN26" s="57">
        <f>1000*AK26/AK30+100*AJ26+10*AF26/AF30+1*AL26/AL30+AM26</f>
        <v>6.7400000000000001E-4</v>
      </c>
      <c r="AO26" s="58" t="str">
        <f>IF(SUM(AC26:AE29)=12,J27,INDEX(T,76,lang))</f>
        <v>1D</v>
      </c>
      <c r="AP26" s="59">
        <f>SUMPRODUCT(($S$7:$S$54=AB26&amp;"_win")*($U$7:$U$54))+SUMPRODUCT(($T$7:$T$54=AB26&amp;"_win")*($U$7:$U$54))</f>
        <v>0</v>
      </c>
      <c r="AQ26" s="60">
        <f>SUMPRODUCT(($S$7:$S$54=AB26&amp;"_draw")*($U$7:$U$54))+SUMPRODUCT(($T$7:$T$54=AB26&amp;"_draw")*($U$7:$U$54))</f>
        <v>0</v>
      </c>
      <c r="AR26" s="60">
        <f>SUMPRODUCT(($E$7:$E$54=AB26)*($U$7:$U$54)*($F$7:$F$54))+SUMPRODUCT(($H$7:$H$54=AB26)*($U$7:$U$54)*($G$7:$G$54))</f>
        <v>0</v>
      </c>
      <c r="AS26" s="60">
        <f>SUMPRODUCT(($E$7:$E$54=AB26)*($U$7:$U$54)*($G$7:$G$54))+SUMPRODUCT(($H$7:$H$54=AB26)*($U$7:$U$54)*($F$7:$F$54))</f>
        <v>0</v>
      </c>
      <c r="AT26" s="60">
        <f>AR26-AS26</f>
        <v>0</v>
      </c>
      <c r="AY26" s="146">
        <v>51</v>
      </c>
      <c r="AZ26" s="27" t="str">
        <f>AO14</f>
        <v>1B</v>
      </c>
      <c r="BA26" s="28"/>
      <c r="BB26" s="29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35"/>
      <c r="BP26" s="25"/>
      <c r="BQ26" s="25"/>
      <c r="BR26" s="25"/>
      <c r="BS26" s="25"/>
      <c r="BT26" s="25"/>
    </row>
    <row r="27" spans="1:72" ht="15" customHeight="1" x14ac:dyDescent="0.25">
      <c r="A27" s="18">
        <v>21</v>
      </c>
      <c r="B27" s="19" t="str">
        <f t="shared" si="0"/>
        <v>Pay</v>
      </c>
      <c r="C27" s="20" t="str">
        <f t="shared" si="1"/>
        <v>Iyun 21, 2018</v>
      </c>
      <c r="D27" s="21">
        <f t="shared" si="8"/>
        <v>0.83333333333333337</v>
      </c>
      <c r="E27" s="22" t="str">
        <f>AB20</f>
        <v>Fransiya</v>
      </c>
      <c r="F27" s="23"/>
      <c r="G27" s="24"/>
      <c r="H27" s="65" t="str">
        <f>AB22</f>
        <v>Peru</v>
      </c>
      <c r="J27" s="67" t="str">
        <f>VLOOKUP(1,AA26:AK29,2,FALSE)</f>
        <v>Argentina</v>
      </c>
      <c r="K27" s="68">
        <f>L27+M27+N27</f>
        <v>0</v>
      </c>
      <c r="L27" s="68">
        <f>VLOOKUP(1,AA26:AK29,3,FALSE)</f>
        <v>0</v>
      </c>
      <c r="M27" s="68">
        <f>VLOOKUP(1,AA26:AK29,4,FALSE)</f>
        <v>0</v>
      </c>
      <c r="N27" s="68">
        <f>VLOOKUP(1,AA26:AK29,5,FALSE)</f>
        <v>0</v>
      </c>
      <c r="O27" s="68" t="str">
        <f>VLOOKUP(1,AA26:AK29,6,FALSE) &amp; " - " &amp; VLOOKUP(1,AA26:AK29,7,FALSE)</f>
        <v>0 - 0</v>
      </c>
      <c r="P27" s="69">
        <f>L27*3+M27</f>
        <v>0</v>
      </c>
      <c r="R27" s="56">
        <f>DATE(2018,6,21)+TIME(4,0,0)+gmt_delta</f>
        <v>43272.833333333328</v>
      </c>
      <c r="S27" s="63" t="str">
        <f t="shared" si="2"/>
        <v/>
      </c>
      <c r="T27" s="63" t="str">
        <f t="shared" si="3"/>
        <v/>
      </c>
      <c r="U27" s="57">
        <f t="shared" si="4"/>
        <v>0</v>
      </c>
      <c r="V27" s="56">
        <f t="shared" si="5"/>
        <v>0</v>
      </c>
      <c r="W27" s="56">
        <f t="shared" si="6"/>
        <v>0</v>
      </c>
      <c r="X27" s="56">
        <f t="shared" si="7"/>
        <v>0</v>
      </c>
      <c r="Y27" s="56" t="str">
        <f t="shared" si="9"/>
        <v/>
      </c>
      <c r="AA27" s="56">
        <f>COUNTIF(AN26:AN29,CONCATENATE("&gt;=",AN27))</f>
        <v>3</v>
      </c>
      <c r="AB27" s="57" t="str">
        <f>VLOOKUP("Iceland",T,lang,FALSE)</f>
        <v>Islandiya</v>
      </c>
      <c r="AC27" s="56">
        <f>COUNTIF($S$7:$T$54,"=" &amp; AB27 &amp; "_win")</f>
        <v>0</v>
      </c>
      <c r="AD27" s="56">
        <f>COUNTIF($S$7:$T$54,"=" &amp; AB27 &amp; "_draw")</f>
        <v>0</v>
      </c>
      <c r="AE27" s="56">
        <f>COUNTIF($S$7:$T$54,"=" &amp; AB27 &amp; "_lose")</f>
        <v>0</v>
      </c>
      <c r="AF27" s="56">
        <f>SUMIF($E$7:$E$54,$AB27,$F$7:$F$54) + SUMIF($H$7:$H$54,$AB27,$G$7:$G$54)</f>
        <v>0</v>
      </c>
      <c r="AG27" s="56">
        <f>SUMIF($E$7:$E$54,$AB27,$G$7:$G$54) + SUMIF($H$7:$H$54,$AB27,$F$7:$F$54)</f>
        <v>0</v>
      </c>
      <c r="AH27" s="56">
        <f>(AF27-AG27)*100+AK27*10000+AF27</f>
        <v>0</v>
      </c>
      <c r="AI27" s="56">
        <f>AF27-AG27</f>
        <v>0</v>
      </c>
      <c r="AJ27" s="56">
        <f>(AI27-AI31)/AI30</f>
        <v>0</v>
      </c>
      <c r="AK27" s="56">
        <f>AC27*3+AD27</f>
        <v>0</v>
      </c>
      <c r="AL27" s="56">
        <f>AP27/AP30*1000+AQ27/AQ30*100+AT27/AT30*10+AR27/AR30</f>
        <v>0</v>
      </c>
      <c r="AM27" s="56">
        <f>VLOOKUP(AB27,db_fifarank,2,FALSE)/2000000</f>
        <v>4.55E-4</v>
      </c>
      <c r="AN27" s="57">
        <f>1000*AK27/AK30+100*AJ27+10*AF27/AF30+1*AL27/AL30+AM27</f>
        <v>4.55E-4</v>
      </c>
      <c r="AO27" s="58" t="str">
        <f>IF(SUM(AC26:AE29)=12,J28,INDEX(T,77,lang))</f>
        <v>2D</v>
      </c>
      <c r="AP27" s="59">
        <f>SUMPRODUCT(($S$7:$S$54=AB27&amp;"_win")*($U$7:$U$54))+SUMPRODUCT(($T$7:$T$54=AB27&amp;"_win")*($U$7:$U$54))</f>
        <v>0</v>
      </c>
      <c r="AQ27" s="60">
        <f>SUMPRODUCT(($S$7:$S$54=AB27&amp;"_draw")*($U$7:$U$54))+SUMPRODUCT(($T$7:$T$54=AB27&amp;"_draw")*($U$7:$U$54))</f>
        <v>0</v>
      </c>
      <c r="AR27" s="60">
        <f>SUMPRODUCT(($E$7:$E$54=AB27)*($U$7:$U$54)*($F$7:$F$54))+SUMPRODUCT(($H$7:$H$54=AB27)*($U$7:$U$54)*($G$7:$G$54))</f>
        <v>0</v>
      </c>
      <c r="AS27" s="60">
        <f>SUMPRODUCT(($E$7:$E$54=AB27)*($U$7:$U$54)*($G$7:$G$54))+SUMPRODUCT(($H$7:$H$54=AB27)*($U$7:$U$54)*($F$7:$F$54))</f>
        <v>0</v>
      </c>
      <c r="AT27" s="60">
        <f>AR27-AS27</f>
        <v>0</v>
      </c>
      <c r="AY27" s="147"/>
      <c r="AZ27" s="30" t="str">
        <f>AO9</f>
        <v>2A</v>
      </c>
      <c r="BA27" s="31"/>
      <c r="BB27" s="32"/>
      <c r="BC27" s="33"/>
      <c r="BD27" s="25"/>
      <c r="BE27" s="25" t="str">
        <f>INDEX(T,24+MONTH(R71),lang) &amp; " " &amp; DAY(R71) &amp; ", " &amp; YEAR(R71)</f>
        <v>Iyul 7, 2018</v>
      </c>
      <c r="BF27" s="25"/>
      <c r="BG27" s="139">
        <f>TIME(HOUR(R71),MINUTE(R71),0)</f>
        <v>0.79166666666666663</v>
      </c>
      <c r="BH27" s="139"/>
      <c r="BI27" s="25"/>
      <c r="BJ27" s="25"/>
      <c r="BK27" s="25"/>
      <c r="BL27" s="25"/>
      <c r="BM27" s="25"/>
      <c r="BN27" s="25"/>
      <c r="BO27" s="35"/>
      <c r="BP27" s="25"/>
      <c r="BQ27" s="25"/>
      <c r="BR27" s="25"/>
      <c r="BS27" s="25"/>
      <c r="BT27" s="25"/>
    </row>
    <row r="28" spans="1:72" ht="15" customHeight="1" x14ac:dyDescent="0.25">
      <c r="A28" s="18">
        <v>22</v>
      </c>
      <c r="B28" s="19" t="str">
        <f t="shared" si="0"/>
        <v>Pay</v>
      </c>
      <c r="C28" s="20" t="str">
        <f t="shared" si="1"/>
        <v>Iyun 21, 2018</v>
      </c>
      <c r="D28" s="21">
        <f t="shared" si="8"/>
        <v>0.70833333333333337</v>
      </c>
      <c r="E28" s="22" t="str">
        <f>AB23</f>
        <v>Daniya</v>
      </c>
      <c r="F28" s="23"/>
      <c r="G28" s="24"/>
      <c r="H28" s="65" t="str">
        <f>AB21</f>
        <v>Avstraliya</v>
      </c>
      <c r="J28" s="70" t="str">
        <f>VLOOKUP(2,AA26:AK29,2,FALSE)</f>
        <v>Xorvatiya</v>
      </c>
      <c r="K28" s="26">
        <f>L28+M28+N28</f>
        <v>0</v>
      </c>
      <c r="L28" s="26">
        <f>VLOOKUP(2,AA26:AK29,3,FALSE)</f>
        <v>0</v>
      </c>
      <c r="M28" s="26">
        <f>VLOOKUP(2,AA26:AK29,4,FALSE)</f>
        <v>0</v>
      </c>
      <c r="N28" s="26">
        <f>VLOOKUP(2,AA26:AK29,5,FALSE)</f>
        <v>0</v>
      </c>
      <c r="O28" s="26" t="str">
        <f>VLOOKUP(2,AA26:AK29,6,FALSE) &amp; " - " &amp; VLOOKUP(2,AA26:AK29,7,FALSE)</f>
        <v>0 - 0</v>
      </c>
      <c r="P28" s="71">
        <f>L28*3+M28</f>
        <v>0</v>
      </c>
      <c r="R28" s="56">
        <f>DATE(2018,6,21)+TIME(1,0,0)+gmt_delta</f>
        <v>43272.708333333328</v>
      </c>
      <c r="S28" s="63" t="str">
        <f t="shared" si="2"/>
        <v/>
      </c>
      <c r="T28" s="63" t="str">
        <f t="shared" si="3"/>
        <v/>
      </c>
      <c r="U28" s="57">
        <f t="shared" si="4"/>
        <v>0</v>
      </c>
      <c r="V28" s="56">
        <f t="shared" si="5"/>
        <v>0</v>
      </c>
      <c r="W28" s="56">
        <f t="shared" si="6"/>
        <v>0</v>
      </c>
      <c r="X28" s="56">
        <f t="shared" si="7"/>
        <v>0</v>
      </c>
      <c r="Y28" s="56" t="str">
        <f t="shared" si="9"/>
        <v/>
      </c>
      <c r="AA28" s="56">
        <f>COUNTIF(AN26:AN29,CONCATENATE("&gt;=",AN28))</f>
        <v>2</v>
      </c>
      <c r="AB28" s="57" t="str">
        <f>VLOOKUP("Croatia",T,lang,FALSE)</f>
        <v>Xorvatiya</v>
      </c>
      <c r="AC28" s="56">
        <f>COUNTIF($S$7:$T$54,"=" &amp; AB28 &amp; "_win")</f>
        <v>0</v>
      </c>
      <c r="AD28" s="56">
        <f>COUNTIF($S$7:$T$54,"=" &amp; AB28 &amp; "_draw")</f>
        <v>0</v>
      </c>
      <c r="AE28" s="56">
        <f>COUNTIF($S$7:$T$54,"=" &amp; AB28 &amp; "_lose")</f>
        <v>0</v>
      </c>
      <c r="AF28" s="56">
        <f>SUMIF($E$7:$E$54,$AB28,$F$7:$F$54) + SUMIF($H$7:$H$54,$AB28,$G$7:$G$54)</f>
        <v>0</v>
      </c>
      <c r="AG28" s="56">
        <f>SUMIF($E$7:$E$54,$AB28,$G$7:$G$54) + SUMIF($H$7:$H$54,$AB28,$F$7:$F$54)</f>
        <v>0</v>
      </c>
      <c r="AH28" s="56">
        <f>(AF28-AG28)*100+AK28*10000+AF28</f>
        <v>0</v>
      </c>
      <c r="AI28" s="56">
        <f>AF28-AG28</f>
        <v>0</v>
      </c>
      <c r="AJ28" s="56">
        <f>(AI28-AI31)/AI30</f>
        <v>0</v>
      </c>
      <c r="AK28" s="56">
        <f>AC28*3+AD28</f>
        <v>0</v>
      </c>
      <c r="AL28" s="56">
        <f>AP28/AP30*1000+AQ28/AQ30*100+AT28/AT30*10+AR28/AR30</f>
        <v>0</v>
      </c>
      <c r="AM28" s="56">
        <f>VLOOKUP(AB28,db_fifarank,2,FALSE)/2000000</f>
        <v>5.0900000000000001E-4</v>
      </c>
      <c r="AN28" s="57">
        <f>1000*AK28/AK30+100*AJ28+10*AF28/AF30+1*AL28/AL30+AM28</f>
        <v>5.0900000000000001E-4</v>
      </c>
      <c r="AP28" s="59">
        <f>SUMPRODUCT(($S$7:$S$54=AB28&amp;"_win")*($U$7:$U$54))+SUMPRODUCT(($T$7:$T$54=AB28&amp;"_win")*($U$7:$U$54))</f>
        <v>0</v>
      </c>
      <c r="AQ28" s="60">
        <f>SUMPRODUCT(($S$7:$S$54=AB28&amp;"_draw")*($U$7:$U$54))+SUMPRODUCT(($T$7:$T$54=AB28&amp;"_draw")*($U$7:$U$54))</f>
        <v>0</v>
      </c>
      <c r="AR28" s="60">
        <f>SUMPRODUCT(($E$7:$E$54=AB28)*($U$7:$U$54)*($F$7:$F$54))+SUMPRODUCT(($H$7:$H$54=AB28)*($U$7:$U$54)*($G$7:$G$54))</f>
        <v>0</v>
      </c>
      <c r="AS28" s="60">
        <f>SUMPRODUCT(($E$7:$E$54=AB28)*($U$7:$U$54)*($G$7:$G$54))+SUMPRODUCT(($H$7:$H$54=AB28)*($U$7:$U$54)*($F$7:$F$54))</f>
        <v>0</v>
      </c>
      <c r="AT28" s="60">
        <f>AR28-AS28</f>
        <v>0</v>
      </c>
      <c r="AY28" s="25"/>
      <c r="AZ28" s="25"/>
      <c r="BA28" s="25"/>
      <c r="BB28" s="25"/>
      <c r="BC28" s="35"/>
      <c r="BD28" s="25"/>
      <c r="BE28" s="146">
        <v>59</v>
      </c>
      <c r="BF28" s="27" t="str">
        <f>T60</f>
        <v>W51</v>
      </c>
      <c r="BG28" s="28"/>
      <c r="BH28" s="29"/>
      <c r="BI28" s="25"/>
      <c r="BJ28" s="25"/>
      <c r="BK28" s="25"/>
      <c r="BL28" s="25"/>
      <c r="BM28" s="25"/>
      <c r="BN28" s="25"/>
      <c r="BO28" s="35"/>
      <c r="BP28" s="25"/>
      <c r="BQ28" s="25"/>
      <c r="BR28" s="25"/>
      <c r="BS28" s="25"/>
      <c r="BT28" s="25"/>
    </row>
    <row r="29" spans="1:72" ht="15" customHeight="1" x14ac:dyDescent="0.25">
      <c r="A29" s="18">
        <v>23</v>
      </c>
      <c r="B29" s="19" t="str">
        <f t="shared" si="0"/>
        <v>Pay</v>
      </c>
      <c r="C29" s="20" t="str">
        <f t="shared" si="1"/>
        <v>Iyun 21, 2018</v>
      </c>
      <c r="D29" s="21">
        <f t="shared" si="8"/>
        <v>0.95833333333333337</v>
      </c>
      <c r="E29" s="22" t="str">
        <f>AB26</f>
        <v>Argentina</v>
      </c>
      <c r="F29" s="23"/>
      <c r="G29" s="24"/>
      <c r="H29" s="65" t="str">
        <f>AB28</f>
        <v>Xorvatiya</v>
      </c>
      <c r="J29" s="70" t="str">
        <f>VLOOKUP(3,AA26:AK29,2,FALSE)</f>
        <v>Islandiya</v>
      </c>
      <c r="K29" s="26">
        <f>L29+M29+N29</f>
        <v>0</v>
      </c>
      <c r="L29" s="26">
        <f>VLOOKUP(3,AA26:AK29,3,FALSE)</f>
        <v>0</v>
      </c>
      <c r="M29" s="26">
        <f>VLOOKUP(3,AA26:AK29,4,FALSE)</f>
        <v>0</v>
      </c>
      <c r="N29" s="26">
        <f>VLOOKUP(3,AA26:AK29,5,FALSE)</f>
        <v>0</v>
      </c>
      <c r="O29" s="26" t="str">
        <f>VLOOKUP(3,AA26:AK29,6,FALSE) &amp; " - " &amp; VLOOKUP(3,AA26:AK29,7,FALSE)</f>
        <v>0 - 0</v>
      </c>
      <c r="P29" s="71">
        <f>L29*3+M29</f>
        <v>0</v>
      </c>
      <c r="R29" s="56">
        <f>DATE(2018,6,21)+TIME(7,0,0)+gmt_delta</f>
        <v>43272.958333333328</v>
      </c>
      <c r="S29" s="63" t="str">
        <f t="shared" si="2"/>
        <v/>
      </c>
      <c r="T29" s="63" t="str">
        <f t="shared" si="3"/>
        <v/>
      </c>
      <c r="U29" s="57">
        <f t="shared" si="4"/>
        <v>0</v>
      </c>
      <c r="V29" s="56">
        <f t="shared" si="5"/>
        <v>0</v>
      </c>
      <c r="W29" s="56">
        <f t="shared" si="6"/>
        <v>0</v>
      </c>
      <c r="X29" s="56">
        <f t="shared" si="7"/>
        <v>1</v>
      </c>
      <c r="Y29" s="56" t="str">
        <f t="shared" si="9"/>
        <v/>
      </c>
      <c r="AA29" s="56">
        <f>COUNTIF(AN26:AN29,CONCATENATE("&gt;=",AN29))</f>
        <v>4</v>
      </c>
      <c r="AB29" s="57" t="str">
        <f>VLOOKUP("Nigeria",T,lang,FALSE)</f>
        <v>Nigeriya</v>
      </c>
      <c r="AC29" s="56">
        <f>COUNTIF($S$7:$T$54,"=" &amp; AB29 &amp; "_win")</f>
        <v>0</v>
      </c>
      <c r="AD29" s="56">
        <f>COUNTIF($S$7:$T$54,"=" &amp; AB29 &amp; "_draw")</f>
        <v>0</v>
      </c>
      <c r="AE29" s="56">
        <f>COUNTIF($S$7:$T$54,"=" &amp; AB29 &amp; "_lose")</f>
        <v>0</v>
      </c>
      <c r="AF29" s="56">
        <f>SUMIF($E$7:$E$54,$AB29,$F$7:$F$54) + SUMIF($H$7:$H$54,$AB29,$G$7:$G$54)</f>
        <v>0</v>
      </c>
      <c r="AG29" s="56">
        <f>SUMIF($E$7:$E$54,$AB29,$G$7:$G$54) + SUMIF($H$7:$H$54,$AB29,$F$7:$F$54)</f>
        <v>0</v>
      </c>
      <c r="AH29" s="56">
        <f>(AF29-AG29)*100+AK29*10000+AF29</f>
        <v>0</v>
      </c>
      <c r="AI29" s="56">
        <f>AF29-AG29</f>
        <v>0</v>
      </c>
      <c r="AJ29" s="56">
        <f>(AI29-AI31)/AI30</f>
        <v>0</v>
      </c>
      <c r="AK29" s="56">
        <f>AC29*3+AD29</f>
        <v>0</v>
      </c>
      <c r="AL29" s="56">
        <f>AP29/AP30*1000+AQ29/AQ30*100+AT29/AT30*10+AR29/AR30</f>
        <v>0</v>
      </c>
      <c r="AM29" s="56">
        <f>VLOOKUP(AB29,db_fifarank,2,FALSE)/2000000</f>
        <v>3.2000000000000003E-4</v>
      </c>
      <c r="AN29" s="57">
        <f>1000*AK29/AK30+100*AJ29+10*AF29/AF30+1*AL29/AL30+AM29</f>
        <v>3.2000000000000003E-4</v>
      </c>
      <c r="AP29" s="59">
        <f>SUMPRODUCT(($S$7:$S$54=AB29&amp;"_win")*($U$7:$U$54))+SUMPRODUCT(($T$7:$T$54=AB29&amp;"_win")*($U$7:$U$54))</f>
        <v>0</v>
      </c>
      <c r="AQ29" s="60">
        <f>SUMPRODUCT(($S$7:$S$54=AB29&amp;"_draw")*($U$7:$U$54))+SUMPRODUCT(($T$7:$T$54=AB29&amp;"_draw")*($U$7:$U$54))</f>
        <v>0</v>
      </c>
      <c r="AR29" s="60">
        <f>SUMPRODUCT(($E$7:$E$54=AB29)*($U$7:$U$54)*($F$7:$F$54))+SUMPRODUCT(($H$7:$H$54=AB29)*($U$7:$U$54)*($G$7:$G$54))</f>
        <v>0</v>
      </c>
      <c r="AS29" s="60">
        <f>SUMPRODUCT(($E$7:$E$54=AB29)*($U$7:$U$54)*($G$7:$G$54))+SUMPRODUCT(($H$7:$H$54=AB29)*($U$7:$U$54)*($F$7:$F$54))</f>
        <v>0</v>
      </c>
      <c r="AT29" s="60">
        <f>AR29-AS29</f>
        <v>0</v>
      </c>
      <c r="AY29" s="25" t="str">
        <f>INDEX(T,24+MONTH(R61),lang) &amp; " " &amp; DAY(R61) &amp; ", " &amp; YEAR(R61)</f>
        <v>Iyul 1, 2018</v>
      </c>
      <c r="AZ29" s="25"/>
      <c r="BA29" s="139">
        <f>TIME(HOUR(R61),MINUTE(R61),0)</f>
        <v>0.95833333333333337</v>
      </c>
      <c r="BB29" s="139"/>
      <c r="BC29" s="35"/>
      <c r="BD29" s="38"/>
      <c r="BE29" s="147"/>
      <c r="BF29" s="30" t="str">
        <f>T61</f>
        <v>W52</v>
      </c>
      <c r="BG29" s="31"/>
      <c r="BH29" s="32"/>
      <c r="BI29" s="33"/>
      <c r="BJ29" s="25"/>
      <c r="BK29" s="25"/>
      <c r="BL29" s="25"/>
      <c r="BM29" s="25"/>
      <c r="BN29" s="25"/>
      <c r="BO29" s="35"/>
      <c r="BP29" s="25"/>
      <c r="BQ29" s="25"/>
      <c r="BR29" s="25"/>
      <c r="BS29" s="25"/>
      <c r="BT29" s="25"/>
    </row>
    <row r="30" spans="1:72" ht="15" customHeight="1" x14ac:dyDescent="0.25">
      <c r="A30" s="18">
        <v>24</v>
      </c>
      <c r="B30" s="19" t="str">
        <f t="shared" si="0"/>
        <v>Juma</v>
      </c>
      <c r="C30" s="20" t="str">
        <f t="shared" si="1"/>
        <v>Iyun 22, 2018</v>
      </c>
      <c r="D30" s="21">
        <f t="shared" si="8"/>
        <v>0.83333333333333337</v>
      </c>
      <c r="E30" s="22" t="str">
        <f>AB29</f>
        <v>Nigeriya</v>
      </c>
      <c r="F30" s="23"/>
      <c r="G30" s="24"/>
      <c r="H30" s="65" t="str">
        <f>AB27</f>
        <v>Islandiya</v>
      </c>
      <c r="J30" s="72" t="str">
        <f>VLOOKUP(4,AA26:AK29,2,FALSE)</f>
        <v>Nigeriya</v>
      </c>
      <c r="K30" s="73">
        <f>L30+M30+N30</f>
        <v>0</v>
      </c>
      <c r="L30" s="73">
        <f>VLOOKUP(4,AA26:AK29,3,FALSE)</f>
        <v>0</v>
      </c>
      <c r="M30" s="73">
        <f>VLOOKUP(4,AA26:AK29,4,FALSE)</f>
        <v>0</v>
      </c>
      <c r="N30" s="73">
        <f>VLOOKUP(4,AA26:AK29,5,FALSE)</f>
        <v>0</v>
      </c>
      <c r="O30" s="73" t="str">
        <f>VLOOKUP(4,AA26:AK29,6,FALSE) &amp; " - " &amp; VLOOKUP(4,AA26:AK29,7,FALSE)</f>
        <v>0 - 0</v>
      </c>
      <c r="P30" s="74">
        <f>L30*3+M30</f>
        <v>0</v>
      </c>
      <c r="R30" s="56">
        <f>DATE(2018,6,22)+TIME(4,0,0)+gmt_delta</f>
        <v>43273.833333333328</v>
      </c>
      <c r="S30" s="63" t="str">
        <f t="shared" si="2"/>
        <v/>
      </c>
      <c r="T30" s="63" t="str">
        <f t="shared" si="3"/>
        <v/>
      </c>
      <c r="U30" s="57">
        <f t="shared" si="4"/>
        <v>0</v>
      </c>
      <c r="V30" s="56">
        <f t="shared" si="5"/>
        <v>0</v>
      </c>
      <c r="W30" s="56">
        <f t="shared" si="6"/>
        <v>0</v>
      </c>
      <c r="X30" s="56">
        <f t="shared" si="7"/>
        <v>0</v>
      </c>
      <c r="Y30" s="56" t="str">
        <f t="shared" si="9"/>
        <v/>
      </c>
      <c r="AC30" s="56">
        <f t="shared" ref="AC30:AL30" si="13">MAX(AC26:AC29)-MIN(AC26:AC29)+1</f>
        <v>1</v>
      </c>
      <c r="AD30" s="56">
        <f t="shared" si="13"/>
        <v>1</v>
      </c>
      <c r="AE30" s="56">
        <f t="shared" si="13"/>
        <v>1</v>
      </c>
      <c r="AF30" s="56">
        <f t="shared" si="13"/>
        <v>1</v>
      </c>
      <c r="AG30" s="56">
        <f t="shared" si="13"/>
        <v>1</v>
      </c>
      <c r="AH30" s="56">
        <f>MAX(AH26:AH29)-AH31+1</f>
        <v>1</v>
      </c>
      <c r="AI30" s="56">
        <f>MAX(AI26:AI29)-AI31+1</f>
        <v>1</v>
      </c>
      <c r="AK30" s="56">
        <f t="shared" si="13"/>
        <v>1</v>
      </c>
      <c r="AL30" s="56">
        <f t="shared" si="13"/>
        <v>1</v>
      </c>
      <c r="AP30" s="56">
        <f>MAX(AP26:AP29)-MIN(AP26:AP29)+1</f>
        <v>1</v>
      </c>
      <c r="AQ30" s="56">
        <f>MAX(AQ26:AQ29)-MIN(AQ26:AQ29)+1</f>
        <v>1</v>
      </c>
      <c r="AR30" s="56">
        <f>MAX(AR26:AR29)-MIN(AR26:AR29)+1</f>
        <v>1</v>
      </c>
      <c r="AS30" s="56">
        <f>MAX(AS26:AS29)-MIN(AS26:AS29)+1</f>
        <v>1</v>
      </c>
      <c r="AT30" s="56">
        <f>MAX(AT26:AT29)-MIN(AT26:AT29)+1</f>
        <v>1</v>
      </c>
      <c r="AY30" s="146">
        <v>52</v>
      </c>
      <c r="AZ30" s="27" t="str">
        <f>AO26</f>
        <v>1D</v>
      </c>
      <c r="BA30" s="28"/>
      <c r="BB30" s="29"/>
      <c r="BC30" s="39"/>
      <c r="BD30" s="25"/>
      <c r="BE30" s="25"/>
      <c r="BF30" s="25"/>
      <c r="BG30" s="25"/>
      <c r="BH30" s="25"/>
      <c r="BI30" s="35"/>
      <c r="BJ30" s="25"/>
      <c r="BK30" s="25"/>
      <c r="BL30" s="25"/>
      <c r="BM30" s="25"/>
      <c r="BN30" s="25"/>
      <c r="BO30" s="35"/>
      <c r="BP30" s="25"/>
      <c r="BQ30" s="25"/>
      <c r="BR30" s="25"/>
      <c r="BS30" s="25"/>
      <c r="BT30" s="25"/>
    </row>
    <row r="31" spans="1:72" ht="15" customHeight="1" x14ac:dyDescent="0.25">
      <c r="A31" s="18">
        <v>25</v>
      </c>
      <c r="B31" s="19" t="str">
        <f t="shared" si="0"/>
        <v>Juma</v>
      </c>
      <c r="C31" s="20" t="str">
        <f t="shared" si="1"/>
        <v>Iyun 22, 2018</v>
      </c>
      <c r="D31" s="21">
        <f t="shared" si="8"/>
        <v>0.70833333333333337</v>
      </c>
      <c r="E31" s="22" t="str">
        <f>AB32</f>
        <v>Braziliya</v>
      </c>
      <c r="F31" s="23"/>
      <c r="G31" s="24"/>
      <c r="H31" s="65" t="str">
        <f>AB34</f>
        <v>Kosta-Rika</v>
      </c>
      <c r="R31" s="56">
        <f>DATE(2018,6,22)+TIME(1,0,0)+gmt_delta</f>
        <v>43273.708333333328</v>
      </c>
      <c r="S31" s="63" t="str">
        <f t="shared" si="2"/>
        <v/>
      </c>
      <c r="T31" s="63" t="str">
        <f t="shared" si="3"/>
        <v/>
      </c>
      <c r="U31" s="57">
        <f t="shared" si="4"/>
        <v>0</v>
      </c>
      <c r="V31" s="56">
        <f t="shared" si="5"/>
        <v>0</v>
      </c>
      <c r="W31" s="56">
        <f t="shared" si="6"/>
        <v>0</v>
      </c>
      <c r="X31" s="56">
        <f t="shared" si="7"/>
        <v>0</v>
      </c>
      <c r="Y31" s="56" t="str">
        <f t="shared" si="9"/>
        <v/>
      </c>
      <c r="AH31" s="56">
        <f>MIN(AH26:AH29)</f>
        <v>0</v>
      </c>
      <c r="AI31" s="56">
        <f>MIN(AI26:AI29)</f>
        <v>0</v>
      </c>
      <c r="AY31" s="147"/>
      <c r="AZ31" s="30" t="str">
        <f>AO21</f>
        <v>2C</v>
      </c>
      <c r="BA31" s="31"/>
      <c r="BB31" s="32"/>
      <c r="BC31" s="25"/>
      <c r="BD31" s="25"/>
      <c r="BE31" s="25"/>
      <c r="BF31" s="25"/>
      <c r="BG31" s="25"/>
      <c r="BH31" s="25"/>
      <c r="BI31" s="35"/>
      <c r="BJ31" s="25"/>
      <c r="BK31" s="25" t="str">
        <f>INDEX(T,24+MONTH(R77),lang) &amp; " " &amp; DAY(R77) &amp; ", " &amp; YEAR(R77)</f>
        <v>Iyul 11, 2018</v>
      </c>
      <c r="BL31" s="25"/>
      <c r="BM31" s="139">
        <f>TIME(HOUR(R77),MINUTE(R77),0)</f>
        <v>0.95833333333333337</v>
      </c>
      <c r="BN31" s="139"/>
      <c r="BO31" s="35"/>
      <c r="BP31" s="40"/>
      <c r="BQ31" s="183" t="str">
        <f>INDEX(T,7,lang)</f>
        <v>3-o'rin uchun bahs</v>
      </c>
      <c r="BR31" s="184"/>
      <c r="BS31" s="184"/>
      <c r="BT31" s="185"/>
    </row>
    <row r="32" spans="1:72" ht="15" customHeight="1" x14ac:dyDescent="0.25">
      <c r="A32" s="18">
        <v>26</v>
      </c>
      <c r="B32" s="19" t="str">
        <f t="shared" si="0"/>
        <v>Juma</v>
      </c>
      <c r="C32" s="20" t="str">
        <f t="shared" si="1"/>
        <v>Iyun 22, 2018</v>
      </c>
      <c r="D32" s="21">
        <f t="shared" si="8"/>
        <v>0.95833333333333337</v>
      </c>
      <c r="E32" s="22" t="str">
        <f>AB35</f>
        <v>Serbiya</v>
      </c>
      <c r="F32" s="23"/>
      <c r="G32" s="24"/>
      <c r="H32" s="65" t="str">
        <f>AB33</f>
        <v>Shveysariya</v>
      </c>
      <c r="J32" s="75" t="str">
        <f>INDEX(T,9,lang) &amp; " " &amp; "E"</f>
        <v>Guruh E</v>
      </c>
      <c r="K32" s="76" t="str">
        <f>INDEX(T,10,lang)</f>
        <v>O'</v>
      </c>
      <c r="L32" s="76" t="str">
        <f>INDEX(T,11,lang)</f>
        <v>Yu</v>
      </c>
      <c r="M32" s="76" t="str">
        <f>INDEX(T,12,lang)</f>
        <v>D</v>
      </c>
      <c r="N32" s="76" t="str">
        <f>INDEX(T,13,lang)</f>
        <v>M</v>
      </c>
      <c r="O32" s="76" t="str">
        <f>INDEX(T,14,lang)</f>
        <v>UrGol-O'tGol</v>
      </c>
      <c r="P32" s="77" t="str">
        <f>INDEX(T,15,lang)</f>
        <v>Ochko</v>
      </c>
      <c r="R32" s="56">
        <f>DATE(2018,6,22)+TIME(7,0,0)+gmt_delta</f>
        <v>43273.958333333328</v>
      </c>
      <c r="S32" s="63" t="str">
        <f t="shared" si="2"/>
        <v/>
      </c>
      <c r="T32" s="63" t="str">
        <f t="shared" si="3"/>
        <v/>
      </c>
      <c r="U32" s="57">
        <f t="shared" si="4"/>
        <v>0</v>
      </c>
      <c r="V32" s="56">
        <f t="shared" si="5"/>
        <v>0</v>
      </c>
      <c r="W32" s="56">
        <f t="shared" si="6"/>
        <v>0</v>
      </c>
      <c r="X32" s="56">
        <f t="shared" si="7"/>
        <v>0</v>
      </c>
      <c r="Y32" s="56" t="str">
        <f t="shared" si="9"/>
        <v/>
      </c>
      <c r="AA32" s="56">
        <f>COUNTIF(AN32:AN35,CONCATENATE("&gt;=",AN32))</f>
        <v>1</v>
      </c>
      <c r="AB32" s="57" t="str">
        <f>VLOOKUP("Brazil",T,lang,FALSE)</f>
        <v>Braziliya</v>
      </c>
      <c r="AC32" s="56">
        <f>COUNTIF($S$7:$T$54,"=" &amp; AB32 &amp; "_win")</f>
        <v>0</v>
      </c>
      <c r="AD32" s="56">
        <f>COUNTIF($S$7:$T$54,"=" &amp; AB32 &amp; "_draw")</f>
        <v>0</v>
      </c>
      <c r="AE32" s="56">
        <f>COUNTIF($S$7:$T$54,"=" &amp; AB32 &amp; "_lose")</f>
        <v>0</v>
      </c>
      <c r="AF32" s="56">
        <f>SUMIF($E$7:$E$54,$AB32,$F$7:$F$54) + SUMIF($H$7:$H$54,$AB32,$G$7:$G$54)</f>
        <v>0</v>
      </c>
      <c r="AG32" s="56">
        <f>SUMIF($E$7:$E$54,$AB32,$G$7:$G$54) + SUMIF($H$7:$H$54,$AB32,$F$7:$F$54)</f>
        <v>0</v>
      </c>
      <c r="AH32" s="56">
        <f>(AF32-AG32)*100+AK32*10000+AF32</f>
        <v>0</v>
      </c>
      <c r="AI32" s="56">
        <f>AF32-AG32</f>
        <v>0</v>
      </c>
      <c r="AJ32" s="56">
        <f>(AI32-AI37)/AI36</f>
        <v>0</v>
      </c>
      <c r="AK32" s="56">
        <f>AC32*3+AD32</f>
        <v>0</v>
      </c>
      <c r="AL32" s="56">
        <f>AP32/AP36*1000+AQ32/AQ36*100+AT32/AT36*10+AR32/AR36</f>
        <v>0</v>
      </c>
      <c r="AM32" s="56">
        <f>VLOOKUP(AB32,db_fifarank,2,FALSE)/2000000</f>
        <v>7.4149999999999997E-4</v>
      </c>
      <c r="AN32" s="57">
        <f>1000*AK32/AK36+100*AJ32+10*AF32/AF36+1*AL32/AL36+AM32</f>
        <v>7.4149999999999997E-4</v>
      </c>
      <c r="AO32" s="58" t="str">
        <f>IF(SUM(AC32:AE35)=12,J33,INDEX(T,78,lang))</f>
        <v>1E</v>
      </c>
      <c r="AP32" s="59">
        <f>SUMPRODUCT(($S$7:$S$54=AB32&amp;"_win")*($U$7:$U$54))+SUMPRODUCT(($T$7:$T$54=AB32&amp;"_win")*($U$7:$U$54))</f>
        <v>0</v>
      </c>
      <c r="AQ32" s="60">
        <f>SUMPRODUCT(($S$7:$S$54=AB32&amp;"_draw")*($U$7:$U$54))+SUMPRODUCT(($T$7:$T$54=AB32&amp;"_draw")*($U$7:$U$54))</f>
        <v>0</v>
      </c>
      <c r="AR32" s="60">
        <f>SUMPRODUCT(($E$7:$E$54=AB32)*($U$7:$U$54)*($F$7:$F$54))+SUMPRODUCT(($H$7:$H$54=AB32)*($U$7:$U$54)*($G$7:$G$54))</f>
        <v>0</v>
      </c>
      <c r="AS32" s="60">
        <f>SUMPRODUCT(($E$7:$E$54=AB32)*($U$7:$U$54)*($G$7:$G$54))+SUMPRODUCT(($H$7:$H$54=AB32)*($U$7:$U$54)*($F$7:$F$54))</f>
        <v>0</v>
      </c>
      <c r="AT32" s="60">
        <f>AR32-AS32</f>
        <v>0</v>
      </c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35"/>
      <c r="BJ32" s="25"/>
      <c r="BK32" s="146">
        <v>62</v>
      </c>
      <c r="BL32" s="27" t="str">
        <f>T71</f>
        <v>W59</v>
      </c>
      <c r="BM32" s="28"/>
      <c r="BN32" s="29"/>
      <c r="BO32" s="39"/>
      <c r="BP32" s="40"/>
      <c r="BQ32" s="186"/>
      <c r="BR32" s="187"/>
      <c r="BS32" s="187"/>
      <c r="BT32" s="188"/>
    </row>
    <row r="33" spans="1:72" ht="15" customHeight="1" x14ac:dyDescent="0.25">
      <c r="A33" s="18">
        <v>27</v>
      </c>
      <c r="B33" s="19" t="str">
        <f t="shared" si="0"/>
        <v>Shan</v>
      </c>
      <c r="C33" s="20" t="str">
        <f t="shared" si="1"/>
        <v>Iyun 23, 2018</v>
      </c>
      <c r="D33" s="21">
        <f t="shared" si="8"/>
        <v>0.95833333333333337</v>
      </c>
      <c r="E33" s="22" t="str">
        <f>AB38</f>
        <v>Germaniya</v>
      </c>
      <c r="F33" s="23"/>
      <c r="G33" s="24"/>
      <c r="H33" s="65" t="str">
        <f>AB40</f>
        <v>Shvetsiya</v>
      </c>
      <c r="J33" s="67" t="str">
        <f>VLOOKUP(1,AA32:AK35,2,FALSE)</f>
        <v>Braziliya</v>
      </c>
      <c r="K33" s="68">
        <f>L33+M33+N33</f>
        <v>0</v>
      </c>
      <c r="L33" s="68">
        <f>VLOOKUP(1,AA32:AK35,3,FALSE)</f>
        <v>0</v>
      </c>
      <c r="M33" s="68">
        <f>VLOOKUP(1,AA32:AK35,4,FALSE)</f>
        <v>0</v>
      </c>
      <c r="N33" s="68">
        <f>VLOOKUP(1,AA32:AK35,5,FALSE)</f>
        <v>0</v>
      </c>
      <c r="O33" s="68" t="str">
        <f>VLOOKUP(1,AA32:AK35,6,FALSE) &amp; " - " &amp; VLOOKUP(1,AA32:AK35,7,FALSE)</f>
        <v>0 - 0</v>
      </c>
      <c r="P33" s="69">
        <f>L33*3+M33</f>
        <v>0</v>
      </c>
      <c r="R33" s="56">
        <f>DATE(2018,6,23)+TIME(7,0,0)+gmt_delta</f>
        <v>43274.958333333328</v>
      </c>
      <c r="S33" s="63" t="str">
        <f t="shared" si="2"/>
        <v/>
      </c>
      <c r="T33" s="63" t="str">
        <f t="shared" si="3"/>
        <v/>
      </c>
      <c r="U33" s="57">
        <f t="shared" si="4"/>
        <v>0</v>
      </c>
      <c r="V33" s="56">
        <f t="shared" si="5"/>
        <v>0</v>
      </c>
      <c r="W33" s="56">
        <f t="shared" si="6"/>
        <v>0</v>
      </c>
      <c r="X33" s="56">
        <f t="shared" si="7"/>
        <v>0</v>
      </c>
      <c r="Y33" s="56" t="str">
        <f t="shared" si="9"/>
        <v/>
      </c>
      <c r="AA33" s="56">
        <f>COUNTIF(AN32:AN35,CONCATENATE("&gt;=",AN33))</f>
        <v>2</v>
      </c>
      <c r="AB33" s="57" t="str">
        <f>VLOOKUP("Switzerland",T,lang,FALSE)</f>
        <v>Shveysariya</v>
      </c>
      <c r="AC33" s="56">
        <f>COUNTIF($S$7:$T$54,"=" &amp; AB33 &amp; "_win")</f>
        <v>0</v>
      </c>
      <c r="AD33" s="56">
        <f>COUNTIF($S$7:$T$54,"=" &amp; AB33 &amp; "_draw")</f>
        <v>0</v>
      </c>
      <c r="AE33" s="56">
        <f>COUNTIF($S$7:$T$54,"=" &amp; AB33 &amp; "_lose")</f>
        <v>0</v>
      </c>
      <c r="AF33" s="56">
        <f>SUMIF($E$7:$E$54,$AB33,$F$7:$F$54) + SUMIF($H$7:$H$54,$AB33,$G$7:$G$54)</f>
        <v>0</v>
      </c>
      <c r="AG33" s="56">
        <f>SUMIF($E$7:$E$54,$AB33,$G$7:$G$54) + SUMIF($H$7:$H$54,$AB33,$F$7:$F$54)</f>
        <v>0</v>
      </c>
      <c r="AH33" s="56">
        <f>(AF33-AG33)*100+AK33*10000+AF33</f>
        <v>0</v>
      </c>
      <c r="AI33" s="56">
        <f>AF33-AG33</f>
        <v>0</v>
      </c>
      <c r="AJ33" s="56">
        <f>(AI33-AI37)/AI36</f>
        <v>0</v>
      </c>
      <c r="AK33" s="56">
        <f>AC33*3+AD33</f>
        <v>0</v>
      </c>
      <c r="AL33" s="56">
        <f>AP33/AP36*1000+AQ33/AQ36*100+AT33/AT36*10+AR33/AR36</f>
        <v>0</v>
      </c>
      <c r="AM33" s="56">
        <f>VLOOKUP(AB33,db_fifarank,2,FALSE)/2000000</f>
        <v>5.9500000000000004E-4</v>
      </c>
      <c r="AN33" s="57">
        <f>1000*AK33/AK36+100*AJ33+10*AF33/AF36+1*AL33/AL36+AM33</f>
        <v>5.9500000000000004E-4</v>
      </c>
      <c r="AO33" s="58" t="str">
        <f>IF(SUM(AC32:AE35)=12,J34,INDEX(T,79,lang))</f>
        <v>2E</v>
      </c>
      <c r="AP33" s="59">
        <f>SUMPRODUCT(($S$7:$S$54=AB33&amp;"_win")*($U$7:$U$54))+SUMPRODUCT(($T$7:$T$54=AB33&amp;"_win")*($U$7:$U$54))</f>
        <v>0</v>
      </c>
      <c r="AQ33" s="60">
        <f>SUMPRODUCT(($S$7:$S$54=AB33&amp;"_draw")*($U$7:$U$54))+SUMPRODUCT(($T$7:$T$54=AB33&amp;"_draw")*($U$7:$U$54))</f>
        <v>0</v>
      </c>
      <c r="AR33" s="60">
        <f>SUMPRODUCT(($E$7:$E$54=AB33)*($U$7:$U$54)*($F$7:$F$54))+SUMPRODUCT(($H$7:$H$54=AB33)*($U$7:$U$54)*($G$7:$G$54))</f>
        <v>0</v>
      </c>
      <c r="AS33" s="60">
        <f>SUMPRODUCT(($E$7:$E$54=AB33)*($U$7:$U$54)*($G$7:$G$54))+SUMPRODUCT(($H$7:$H$54=AB33)*($U$7:$U$54)*($F$7:$F$54))</f>
        <v>0</v>
      </c>
      <c r="AT33" s="60">
        <f>AR33-AS33</f>
        <v>0</v>
      </c>
      <c r="AY33" s="25" t="str">
        <f>INDEX(T,24+MONTH(R64),lang) &amp; " " &amp; DAY(R64) &amp; ", " &amp; YEAR(R64)</f>
        <v>Iyul 3, 2018</v>
      </c>
      <c r="AZ33" s="25"/>
      <c r="BA33" s="139">
        <f>TIME(HOUR(R64),MINUTE(R64),0)</f>
        <v>0.79166666666666663</v>
      </c>
      <c r="BB33" s="139"/>
      <c r="BC33" s="25"/>
      <c r="BD33" s="25"/>
      <c r="BE33" s="25"/>
      <c r="BF33" s="25"/>
      <c r="BG33" s="25"/>
      <c r="BH33" s="25"/>
      <c r="BI33" s="35"/>
      <c r="BJ33" s="38"/>
      <c r="BK33" s="147"/>
      <c r="BL33" s="30" t="str">
        <f>T72</f>
        <v>W60</v>
      </c>
      <c r="BM33" s="31"/>
      <c r="BN33" s="32"/>
      <c r="BO33" s="40"/>
      <c r="BP33" s="40"/>
      <c r="BQ33" s="25"/>
      <c r="BR33" s="25"/>
      <c r="BS33" s="25"/>
      <c r="BT33" s="25"/>
    </row>
    <row r="34" spans="1:72" ht="15" customHeight="1" x14ac:dyDescent="0.25">
      <c r="A34" s="18">
        <v>28</v>
      </c>
      <c r="B34" s="19" t="str">
        <f t="shared" si="0"/>
        <v>Shan</v>
      </c>
      <c r="C34" s="20" t="str">
        <f t="shared" si="1"/>
        <v>Iyun 23, 2018</v>
      </c>
      <c r="D34" s="21">
        <f t="shared" si="8"/>
        <v>0.83333333333333337</v>
      </c>
      <c r="E34" s="22" t="str">
        <f>AB41</f>
        <v>Janubiy Koreya</v>
      </c>
      <c r="F34" s="23"/>
      <c r="G34" s="24"/>
      <c r="H34" s="65" t="str">
        <f>AB39</f>
        <v>Meksika</v>
      </c>
      <c r="J34" s="70" t="str">
        <f>VLOOKUP(2,AA32:AK35,2,FALSE)</f>
        <v>Shveysariya</v>
      </c>
      <c r="K34" s="26">
        <f>L34+M34+N34</f>
        <v>0</v>
      </c>
      <c r="L34" s="26">
        <f>VLOOKUP(2,AA32:AK35,3,FALSE)</f>
        <v>0</v>
      </c>
      <c r="M34" s="26">
        <f>VLOOKUP(2,AA32:AK35,4,FALSE)</f>
        <v>0</v>
      </c>
      <c r="N34" s="26">
        <f>VLOOKUP(2,AA32:AK35,5,FALSE)</f>
        <v>0</v>
      </c>
      <c r="O34" s="26" t="str">
        <f>VLOOKUP(2,AA32:AK35,6,FALSE) &amp; " - " &amp; VLOOKUP(2,AA32:AK35,7,FALSE)</f>
        <v>0 - 0</v>
      </c>
      <c r="P34" s="71">
        <f>L34*3+M34</f>
        <v>0</v>
      </c>
      <c r="R34" s="56">
        <f>DATE(2018,6,23)+TIME(4,0,0)+gmt_delta</f>
        <v>43274.833333333328</v>
      </c>
      <c r="S34" s="63" t="str">
        <f t="shared" si="2"/>
        <v/>
      </c>
      <c r="T34" s="63" t="str">
        <f t="shared" si="3"/>
        <v/>
      </c>
      <c r="U34" s="57">
        <f t="shared" si="4"/>
        <v>0</v>
      </c>
      <c r="V34" s="56">
        <f t="shared" si="5"/>
        <v>0</v>
      </c>
      <c r="W34" s="56">
        <f t="shared" si="6"/>
        <v>0</v>
      </c>
      <c r="X34" s="56">
        <f t="shared" si="7"/>
        <v>0</v>
      </c>
      <c r="Y34" s="56" t="str">
        <f t="shared" si="9"/>
        <v/>
      </c>
      <c r="AA34" s="56">
        <f>COUNTIF(AN32:AN35,CONCATENATE("&gt;=",AN34))</f>
        <v>3</v>
      </c>
      <c r="AB34" s="57" t="str">
        <f>VLOOKUP("Costa Rica",T,lang,FALSE)</f>
        <v>Kosta-Rika</v>
      </c>
      <c r="AC34" s="56">
        <f>COUNTIF($S$7:$T$54,"=" &amp; AB34 &amp; "_win")</f>
        <v>0</v>
      </c>
      <c r="AD34" s="56">
        <f>COUNTIF($S$7:$T$54,"=" &amp; AB34 &amp; "_draw")</f>
        <v>0</v>
      </c>
      <c r="AE34" s="56">
        <f>COUNTIF($S$7:$T$54,"=" &amp; AB34 &amp; "_lose")</f>
        <v>0</v>
      </c>
      <c r="AF34" s="56">
        <f>SUMIF($E$7:$E$54,$AB34,$F$7:$F$54) + SUMIF($H$7:$H$54,$AB34,$G$7:$G$54)</f>
        <v>0</v>
      </c>
      <c r="AG34" s="56">
        <f>SUMIF($E$7:$E$54,$AB34,$G$7:$G$54) + SUMIF($H$7:$H$54,$AB34,$F$7:$F$54)</f>
        <v>0</v>
      </c>
      <c r="AH34" s="56">
        <f>(AF34-AG34)*100+AK34*10000+AF34</f>
        <v>0</v>
      </c>
      <c r="AI34" s="56">
        <f>AF34-AG34</f>
        <v>0</v>
      </c>
      <c r="AJ34" s="56">
        <f>(AI34-AI37)/AI36</f>
        <v>0</v>
      </c>
      <c r="AK34" s="56">
        <f>AC34*3+AD34</f>
        <v>0</v>
      </c>
      <c r="AL34" s="56">
        <f>AP34/AP36*1000+AQ34/AQ36*100+AT34/AT36*10+AR34/AR36</f>
        <v>0</v>
      </c>
      <c r="AM34" s="56">
        <f>VLOOKUP(AB34,db_fifarank,2,FALSE)/2000000</f>
        <v>4.2499999999999998E-4</v>
      </c>
      <c r="AN34" s="57">
        <f>1000*AK34/AK36+100*AJ34+10*AF34/AF36+1*AL34/AL36+AM34</f>
        <v>4.2499999999999998E-4</v>
      </c>
      <c r="AP34" s="59">
        <f>SUMPRODUCT(($S$7:$S$54=AB34&amp;"_win")*($U$7:$U$54))+SUMPRODUCT(($T$7:$T$54=AB34&amp;"_win")*($U$7:$U$54))</f>
        <v>0</v>
      </c>
      <c r="AQ34" s="60">
        <f>SUMPRODUCT(($S$7:$S$54=AB34&amp;"_draw")*($U$7:$U$54))+SUMPRODUCT(($T$7:$T$54=AB34&amp;"_draw")*($U$7:$U$54))</f>
        <v>0</v>
      </c>
      <c r="AR34" s="60">
        <f>SUMPRODUCT(($E$7:$E$54=AB34)*($U$7:$U$54)*($F$7:$F$54))+SUMPRODUCT(($H$7:$H$54=AB34)*($U$7:$U$54)*($G$7:$G$54))</f>
        <v>0</v>
      </c>
      <c r="AS34" s="60">
        <f>SUMPRODUCT(($E$7:$E$54=AB34)*($U$7:$U$54)*($G$7:$G$54))+SUMPRODUCT(($H$7:$H$54=AB34)*($U$7:$U$54)*($F$7:$F$54))</f>
        <v>0</v>
      </c>
      <c r="AT34" s="60">
        <f>AR34-AS34</f>
        <v>0</v>
      </c>
      <c r="AY34" s="146">
        <v>55</v>
      </c>
      <c r="AZ34" s="27" t="str">
        <f>AO38</f>
        <v>1F</v>
      </c>
      <c r="BA34" s="28"/>
      <c r="BB34" s="29"/>
      <c r="BC34" s="25"/>
      <c r="BD34" s="25"/>
      <c r="BE34" s="25"/>
      <c r="BF34" s="25"/>
      <c r="BG34" s="25"/>
      <c r="BH34" s="25"/>
      <c r="BI34" s="35"/>
      <c r="BJ34" s="25"/>
      <c r="BK34" s="25"/>
      <c r="BL34" s="25"/>
      <c r="BM34" s="25"/>
      <c r="BN34" s="25"/>
      <c r="BO34" s="25"/>
      <c r="BP34" s="25"/>
      <c r="BQ34" s="25" t="str">
        <f>INDEX(T,24+MONTH(R81),lang) &amp; " " &amp; DAY(R81) &amp; ", " &amp; YEAR(R81)</f>
        <v>Iyul 14, 2018</v>
      </c>
      <c r="BR34" s="25"/>
      <c r="BS34" s="139">
        <f>TIME(HOUR(R81),MINUTE(R81),0)</f>
        <v>0.79166666666666663</v>
      </c>
      <c r="BT34" s="139"/>
    </row>
    <row r="35" spans="1:72" ht="15" customHeight="1" x14ac:dyDescent="0.25">
      <c r="A35" s="18">
        <v>29</v>
      </c>
      <c r="B35" s="19" t="str">
        <f t="shared" si="0"/>
        <v>Shan</v>
      </c>
      <c r="C35" s="20" t="str">
        <f t="shared" si="1"/>
        <v>Iyun 23, 2018</v>
      </c>
      <c r="D35" s="21">
        <f t="shared" si="8"/>
        <v>0.70833333333333337</v>
      </c>
      <c r="E35" s="22" t="str">
        <f>AB44</f>
        <v>Belgiya</v>
      </c>
      <c r="F35" s="23"/>
      <c r="G35" s="24"/>
      <c r="H35" s="65" t="str">
        <f>AB46</f>
        <v>Tunis</v>
      </c>
      <c r="J35" s="70" t="str">
        <f>VLOOKUP(3,AA32:AK35,2,FALSE)</f>
        <v>Kosta-Rika</v>
      </c>
      <c r="K35" s="26">
        <f>L35+M35+N35</f>
        <v>0</v>
      </c>
      <c r="L35" s="26">
        <f>VLOOKUP(3,AA32:AK35,3,FALSE)</f>
        <v>0</v>
      </c>
      <c r="M35" s="26">
        <f>VLOOKUP(3,AA32:AK35,4,FALSE)</f>
        <v>0</v>
      </c>
      <c r="N35" s="26">
        <f>VLOOKUP(3,AA32:AK35,5,FALSE)</f>
        <v>0</v>
      </c>
      <c r="O35" s="26" t="str">
        <f>VLOOKUP(3,AA32:AK35,6,FALSE) &amp; " - " &amp; VLOOKUP(3,AA32:AK35,7,FALSE)</f>
        <v>0 - 0</v>
      </c>
      <c r="P35" s="71">
        <f>L35*3+M35</f>
        <v>0</v>
      </c>
      <c r="R35" s="56">
        <f>DATE(2018,6,23)+TIME(1,0,0)+gmt_delta</f>
        <v>43274.708333333328</v>
      </c>
      <c r="S35" s="63" t="str">
        <f t="shared" si="2"/>
        <v/>
      </c>
      <c r="T35" s="63" t="str">
        <f t="shared" si="3"/>
        <v/>
      </c>
      <c r="U35" s="57">
        <f t="shared" si="4"/>
        <v>0</v>
      </c>
      <c r="V35" s="56">
        <f t="shared" si="5"/>
        <v>0</v>
      </c>
      <c r="W35" s="56">
        <f t="shared" si="6"/>
        <v>0</v>
      </c>
      <c r="X35" s="56">
        <f t="shared" si="7"/>
        <v>0</v>
      </c>
      <c r="Y35" s="56" t="str">
        <f t="shared" si="9"/>
        <v/>
      </c>
      <c r="AA35" s="56">
        <f>COUNTIF(AN32:AN35,CONCATENATE("&gt;=",AN35))</f>
        <v>4</v>
      </c>
      <c r="AB35" s="57" t="str">
        <f>VLOOKUP("Serbia",T,lang,FALSE)</f>
        <v>Serbiya</v>
      </c>
      <c r="AC35" s="56">
        <f>COUNTIF($S$7:$T$54,"=" &amp; AB35 &amp; "_win")</f>
        <v>0</v>
      </c>
      <c r="AD35" s="56">
        <f>COUNTIF($S$7:$T$54,"=" &amp; AB35 &amp; "_draw")</f>
        <v>0</v>
      </c>
      <c r="AE35" s="56">
        <f>COUNTIF($S$7:$T$54,"=" &amp; AB35 &amp; "_lose")</f>
        <v>0</v>
      </c>
      <c r="AF35" s="56">
        <f>SUMIF($E$7:$E$54,$AB35,$F$7:$F$54) + SUMIF($H$7:$H$54,$AB35,$G$7:$G$54)</f>
        <v>0</v>
      </c>
      <c r="AG35" s="56">
        <f>SUMIF($E$7:$E$54,$AB35,$G$7:$G$54) + SUMIF($H$7:$H$54,$AB35,$F$7:$F$54)</f>
        <v>0</v>
      </c>
      <c r="AH35" s="56">
        <f>(AF35-AG35)*100+AK35*10000+AF35</f>
        <v>0</v>
      </c>
      <c r="AI35" s="56">
        <f>AF35-AG35</f>
        <v>0</v>
      </c>
      <c r="AJ35" s="56">
        <f>(AI35-AI37)/AI36</f>
        <v>0</v>
      </c>
      <c r="AK35" s="56">
        <f>AC35*3+AD35</f>
        <v>0</v>
      </c>
      <c r="AL35" s="56">
        <f>AP35/AP36*1000+AQ35/AQ36*100+AT35/AT36*10+AR35/AR36</f>
        <v>0</v>
      </c>
      <c r="AM35" s="56">
        <f>VLOOKUP(AB35,db_fifarank,2,FALSE)/2000000</f>
        <v>3.7800000000000003E-4</v>
      </c>
      <c r="AN35" s="57">
        <f>1000*AK35/AK36+100*AJ35+10*AF35/AF36+1*AL35/AL36+AM35</f>
        <v>3.7800000000000003E-4</v>
      </c>
      <c r="AP35" s="59">
        <f>SUMPRODUCT(($S$7:$S$54=AB35&amp;"_win")*($U$7:$U$54))+SUMPRODUCT(($T$7:$T$54=AB35&amp;"_win")*($U$7:$U$54))</f>
        <v>0</v>
      </c>
      <c r="AQ35" s="60">
        <f>SUMPRODUCT(($S$7:$S$54=AB35&amp;"_draw")*($U$7:$U$54))+SUMPRODUCT(($T$7:$T$54=AB35&amp;"_draw")*($U$7:$U$54))</f>
        <v>0</v>
      </c>
      <c r="AR35" s="60">
        <f>SUMPRODUCT(($E$7:$E$54=AB35)*($U$7:$U$54)*($F$7:$F$54))+SUMPRODUCT(($H$7:$H$54=AB35)*($U$7:$U$54)*($G$7:$G$54))</f>
        <v>0</v>
      </c>
      <c r="AS35" s="60">
        <f>SUMPRODUCT(($E$7:$E$54=AB35)*($U$7:$U$54)*($G$7:$G$54))+SUMPRODUCT(($H$7:$H$54=AB35)*($U$7:$U$54)*($F$7:$F$54))</f>
        <v>0</v>
      </c>
      <c r="AT35" s="60">
        <f>AR35-AS35</f>
        <v>0</v>
      </c>
      <c r="AY35" s="147"/>
      <c r="AZ35" s="30" t="str">
        <f>AO33</f>
        <v>2E</v>
      </c>
      <c r="BA35" s="31"/>
      <c r="BB35" s="32"/>
      <c r="BC35" s="33"/>
      <c r="BD35" s="25"/>
      <c r="BE35" s="25" t="str">
        <f>INDEX(T,24+MONTH(R72),lang) &amp; " " &amp; DAY(R72) &amp; ", " &amp; YEAR(R72)</f>
        <v>Iyul 7, 2018</v>
      </c>
      <c r="BF35" s="25"/>
      <c r="BG35" s="139">
        <f>TIME(HOUR(R72),MINUTE(R72),0)</f>
        <v>0.95833333333333337</v>
      </c>
      <c r="BH35" s="139"/>
      <c r="BI35" s="35"/>
      <c r="BJ35" s="25"/>
      <c r="BK35" s="25"/>
      <c r="BL35" s="25"/>
      <c r="BM35" s="25"/>
      <c r="BN35" s="25"/>
      <c r="BO35" s="25"/>
      <c r="BP35" s="25"/>
      <c r="BQ35" s="146">
        <v>63</v>
      </c>
      <c r="BR35" s="27" t="str">
        <f>Z76</f>
        <v>L61</v>
      </c>
      <c r="BS35" s="28"/>
      <c r="BT35" s="29"/>
    </row>
    <row r="36" spans="1:72" ht="15" customHeight="1" x14ac:dyDescent="0.25">
      <c r="A36" s="18">
        <v>30</v>
      </c>
      <c r="B36" s="19" t="str">
        <f t="shared" si="0"/>
        <v>Yak</v>
      </c>
      <c r="C36" s="20" t="str">
        <f t="shared" si="1"/>
        <v>Iyun 24, 2018</v>
      </c>
      <c r="D36" s="21">
        <f t="shared" si="8"/>
        <v>0.70833333333333337</v>
      </c>
      <c r="E36" s="22" t="str">
        <f>AB47</f>
        <v>Angliya</v>
      </c>
      <c r="F36" s="23"/>
      <c r="G36" s="24"/>
      <c r="H36" s="65" t="str">
        <f>AB45</f>
        <v>Panama</v>
      </c>
      <c r="J36" s="72" t="str">
        <f>VLOOKUP(4,AA32:AK35,2,FALSE)</f>
        <v>Serbiya</v>
      </c>
      <c r="K36" s="73">
        <f>L36+M36+N36</f>
        <v>0</v>
      </c>
      <c r="L36" s="73">
        <f>VLOOKUP(4,AA32:AK35,3,FALSE)</f>
        <v>0</v>
      </c>
      <c r="M36" s="73">
        <f>VLOOKUP(4,AA32:AK35,4,FALSE)</f>
        <v>0</v>
      </c>
      <c r="N36" s="73">
        <f>VLOOKUP(4,AA32:AK35,5,FALSE)</f>
        <v>0</v>
      </c>
      <c r="O36" s="73" t="str">
        <f>VLOOKUP(4,AA32:AK35,6,FALSE) &amp; " - " &amp; VLOOKUP(4,AA32:AK35,7,FALSE)</f>
        <v>0 - 0</v>
      </c>
      <c r="P36" s="74">
        <f>L36*3+M36</f>
        <v>0</v>
      </c>
      <c r="R36" s="56">
        <f>DATE(2018,6,24)+TIME(1,0,0)+gmt_delta</f>
        <v>43275.708333333328</v>
      </c>
      <c r="S36" s="63" t="str">
        <f t="shared" si="2"/>
        <v/>
      </c>
      <c r="T36" s="63" t="str">
        <f t="shared" si="3"/>
        <v/>
      </c>
      <c r="U36" s="57">
        <f t="shared" si="4"/>
        <v>0</v>
      </c>
      <c r="V36" s="56">
        <f t="shared" si="5"/>
        <v>0</v>
      </c>
      <c r="W36" s="56">
        <f t="shared" si="6"/>
        <v>0</v>
      </c>
      <c r="X36" s="56">
        <f t="shared" si="7"/>
        <v>0</v>
      </c>
      <c r="Y36" s="56" t="str">
        <f t="shared" si="9"/>
        <v/>
      </c>
      <c r="AC36" s="56">
        <f t="shared" ref="AC36:AL36" si="14">MAX(AC32:AC35)-MIN(AC32:AC35)+1</f>
        <v>1</v>
      </c>
      <c r="AD36" s="56">
        <f t="shared" si="14"/>
        <v>1</v>
      </c>
      <c r="AE36" s="56">
        <f t="shared" si="14"/>
        <v>1</v>
      </c>
      <c r="AF36" s="56">
        <f t="shared" si="14"/>
        <v>1</v>
      </c>
      <c r="AG36" s="56">
        <f t="shared" si="14"/>
        <v>1</v>
      </c>
      <c r="AH36" s="56">
        <f>MAX(AH32:AH35)-AH37+1</f>
        <v>1</v>
      </c>
      <c r="AI36" s="56">
        <f>MAX(AI32:AI35)-AI37+1</f>
        <v>1</v>
      </c>
      <c r="AK36" s="56">
        <f t="shared" si="14"/>
        <v>1</v>
      </c>
      <c r="AL36" s="56">
        <f t="shared" si="14"/>
        <v>1</v>
      </c>
      <c r="AP36" s="56">
        <f>MAX(AP32:AP35)-MIN(AP32:AP35)+1</f>
        <v>1</v>
      </c>
      <c r="AQ36" s="56">
        <f>MAX(AQ32:AQ35)-MIN(AQ32:AQ35)+1</f>
        <v>1</v>
      </c>
      <c r="AR36" s="56">
        <f>MAX(AR32:AR35)-MIN(AR32:AR35)+1</f>
        <v>1</v>
      </c>
      <c r="AS36" s="56">
        <f>MAX(AS32:AS35)-MIN(AS32:AS35)+1</f>
        <v>1</v>
      </c>
      <c r="AT36" s="56">
        <f>MAX(AT32:AT35)-MIN(AT32:AT35)+1</f>
        <v>1</v>
      </c>
      <c r="AY36" s="25"/>
      <c r="AZ36" s="25"/>
      <c r="BA36" s="25"/>
      <c r="BB36" s="25"/>
      <c r="BC36" s="35"/>
      <c r="BD36" s="25"/>
      <c r="BE36" s="146">
        <v>60</v>
      </c>
      <c r="BF36" s="27" t="str">
        <f>T64</f>
        <v>W55</v>
      </c>
      <c r="BG36" s="28"/>
      <c r="BH36" s="29"/>
      <c r="BI36" s="39"/>
      <c r="BJ36" s="25"/>
      <c r="BK36" s="25"/>
      <c r="BL36" s="25"/>
      <c r="BM36" s="25"/>
      <c r="BN36" s="25"/>
      <c r="BO36" s="25"/>
      <c r="BP36" s="25"/>
      <c r="BQ36" s="147"/>
      <c r="BR36" s="30" t="str">
        <f>Z77</f>
        <v>L62</v>
      </c>
      <c r="BS36" s="31"/>
      <c r="BT36" s="32"/>
    </row>
    <row r="37" spans="1:72" ht="15" customHeight="1" x14ac:dyDescent="0.25">
      <c r="A37" s="18">
        <v>31</v>
      </c>
      <c r="B37" s="19" t="str">
        <f t="shared" si="0"/>
        <v>Yak</v>
      </c>
      <c r="C37" s="20" t="str">
        <f t="shared" si="1"/>
        <v>Iyun 24, 2018</v>
      </c>
      <c r="D37" s="21">
        <f t="shared" si="8"/>
        <v>0.95833333333333337</v>
      </c>
      <c r="E37" s="22" t="str">
        <f>AB50</f>
        <v>Polsha</v>
      </c>
      <c r="F37" s="23"/>
      <c r="G37" s="24"/>
      <c r="H37" s="65" t="str">
        <f>AB52</f>
        <v>Kolumbiya</v>
      </c>
      <c r="R37" s="56">
        <f>DATE(2018,6,24)+TIME(7,0,0)+gmt_delta</f>
        <v>43275.958333333328</v>
      </c>
      <c r="S37" s="63" t="str">
        <f t="shared" si="2"/>
        <v/>
      </c>
      <c r="T37" s="63" t="str">
        <f t="shared" si="3"/>
        <v/>
      </c>
      <c r="U37" s="57">
        <f t="shared" si="4"/>
        <v>0</v>
      </c>
      <c r="V37" s="56">
        <f t="shared" si="5"/>
        <v>0</v>
      </c>
      <c r="W37" s="56">
        <f t="shared" si="6"/>
        <v>0</v>
      </c>
      <c r="X37" s="56">
        <f t="shared" si="7"/>
        <v>0</v>
      </c>
      <c r="Y37" s="56" t="str">
        <f t="shared" si="9"/>
        <v/>
      </c>
      <c r="AH37" s="56">
        <f>MIN(AH32:AH35)</f>
        <v>0</v>
      </c>
      <c r="AI37" s="56">
        <f>MIN(AI32:AI35)</f>
        <v>0</v>
      </c>
      <c r="AY37" s="25" t="str">
        <f>INDEX(T,24+MONTH(R65),lang) &amp; " " &amp; DAY(R65) &amp; ", " &amp; YEAR(R65)</f>
        <v>Iyul 3, 2018</v>
      </c>
      <c r="AZ37" s="25"/>
      <c r="BA37" s="139">
        <f>TIME(HOUR(R65),MINUTE(R65),0)</f>
        <v>0.95833333333333337</v>
      </c>
      <c r="BB37" s="139"/>
      <c r="BC37" s="35"/>
      <c r="BD37" s="38"/>
      <c r="BE37" s="147"/>
      <c r="BF37" s="30" t="str">
        <f>T65</f>
        <v>W56</v>
      </c>
      <c r="BG37" s="31"/>
      <c r="BH37" s="32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</row>
    <row r="38" spans="1:72" ht="15" customHeight="1" x14ac:dyDescent="0.25">
      <c r="A38" s="18">
        <v>32</v>
      </c>
      <c r="B38" s="19" t="str">
        <f t="shared" si="0"/>
        <v>Yak</v>
      </c>
      <c r="C38" s="20" t="str">
        <f t="shared" si="1"/>
        <v>Iyun 24, 2018</v>
      </c>
      <c r="D38" s="21">
        <f t="shared" si="8"/>
        <v>0.83333333333333337</v>
      </c>
      <c r="E38" s="22" t="str">
        <f>AB53</f>
        <v>Yaponiya</v>
      </c>
      <c r="F38" s="23"/>
      <c r="G38" s="24"/>
      <c r="H38" s="65" t="str">
        <f>AB51</f>
        <v>Senegal</v>
      </c>
      <c r="J38" s="75" t="str">
        <f>INDEX(T,9,lang) &amp; " " &amp; "F"</f>
        <v>Guruh F</v>
      </c>
      <c r="K38" s="76" t="str">
        <f>INDEX(T,10,lang)</f>
        <v>O'</v>
      </c>
      <c r="L38" s="76" t="str">
        <f>INDEX(T,11,lang)</f>
        <v>Yu</v>
      </c>
      <c r="M38" s="76" t="str">
        <f>INDEX(T,12,lang)</f>
        <v>D</v>
      </c>
      <c r="N38" s="76" t="str">
        <f>INDEX(T,13,lang)</f>
        <v>M</v>
      </c>
      <c r="O38" s="76" t="str">
        <f>INDEX(T,14,lang)</f>
        <v>UrGol-O'tGol</v>
      </c>
      <c r="P38" s="77" t="str">
        <f>INDEX(T,15,lang)</f>
        <v>Ochko</v>
      </c>
      <c r="R38" s="56">
        <f>DATE(2018,6,24)+TIME(4,0,0)+gmt_delta</f>
        <v>43275.833333333328</v>
      </c>
      <c r="S38" s="63" t="str">
        <f t="shared" si="2"/>
        <v/>
      </c>
      <c r="T38" s="63" t="str">
        <f t="shared" si="3"/>
        <v/>
      </c>
      <c r="U38" s="57">
        <f t="shared" si="4"/>
        <v>0</v>
      </c>
      <c r="V38" s="56">
        <f t="shared" si="5"/>
        <v>0</v>
      </c>
      <c r="W38" s="56">
        <f t="shared" si="6"/>
        <v>0</v>
      </c>
      <c r="X38" s="56">
        <f t="shared" si="7"/>
        <v>0</v>
      </c>
      <c r="Y38" s="56" t="str">
        <f t="shared" si="9"/>
        <v/>
      </c>
      <c r="AA38" s="56">
        <f>COUNTIF(AN38:AN41,CONCATENATE("&gt;=",AN38))</f>
        <v>1</v>
      </c>
      <c r="AB38" s="57" t="str">
        <f>VLOOKUP("Germany",T,lang,FALSE)</f>
        <v>Germaniya</v>
      </c>
      <c r="AC38" s="56">
        <f>COUNTIF($S$7:$T$54,"=" &amp; AB38 &amp; "_win")</f>
        <v>0</v>
      </c>
      <c r="AD38" s="56">
        <f>COUNTIF($S$7:$T$54,"=" &amp; AB38 &amp; "_draw")</f>
        <v>0</v>
      </c>
      <c r="AE38" s="56">
        <f>COUNTIF($S$7:$T$54,"=" &amp; AB38 &amp; "_lose")</f>
        <v>0</v>
      </c>
      <c r="AF38" s="56">
        <f>SUMIF($E$7:$E$54,$AB38,$F$7:$F$54) + SUMIF($H$7:$H$54,$AB38,$G$7:$G$54)</f>
        <v>0</v>
      </c>
      <c r="AG38" s="56">
        <f>SUMIF($E$7:$E$54,$AB38,$G$7:$G$54) + SUMIF($H$7:$H$54,$AB38,$F$7:$F$54)</f>
        <v>0</v>
      </c>
      <c r="AH38" s="56">
        <f>(AF38-AG38)*100+AK38*10000+AF38</f>
        <v>0</v>
      </c>
      <c r="AI38" s="56">
        <f>AF38-AG38</f>
        <v>0</v>
      </c>
      <c r="AJ38" s="56">
        <f>(AI38-AI43)/AI42</f>
        <v>0</v>
      </c>
      <c r="AK38" s="56">
        <f>AC38*3+AD38</f>
        <v>0</v>
      </c>
      <c r="AL38" s="56">
        <f>AP38/AP42*1000+AQ38/AQ42*100+AT38/AT42*10+AR38/AR42</f>
        <v>0</v>
      </c>
      <c r="AM38" s="56">
        <f>VLOOKUP(AB38,db_fifarank,2,FALSE)/2000000</f>
        <v>8.0099999999999995E-4</v>
      </c>
      <c r="AN38" s="57">
        <f>1000*AK38/AK42+100*AJ38+10*AF38/AF42+1*AL38/AL42+AM38</f>
        <v>8.0099999999999995E-4</v>
      </c>
      <c r="AO38" s="58" t="str">
        <f>IF(SUM(AC38:AE41)=12,J39,INDEX(T,80,lang))</f>
        <v>1F</v>
      </c>
      <c r="AP38" s="59">
        <f>SUMPRODUCT(($S$7:$S$54=AB38&amp;"_win")*($U$7:$U$54))+SUMPRODUCT(($T$7:$T$54=AB38&amp;"_win")*($U$7:$U$54))</f>
        <v>0</v>
      </c>
      <c r="AQ38" s="60">
        <f>SUMPRODUCT(($S$7:$S$54=AB38&amp;"_draw")*($U$7:$U$54))+SUMPRODUCT(($T$7:$T$54=AB38&amp;"_draw")*($U$7:$U$54))</f>
        <v>0</v>
      </c>
      <c r="AR38" s="60">
        <f>SUMPRODUCT(($E$7:$E$54=AB38)*($U$7:$U$54)*($F$7:$F$54))+SUMPRODUCT(($H$7:$H$54=AB38)*($U$7:$U$54)*($G$7:$G$54))</f>
        <v>0</v>
      </c>
      <c r="AS38" s="60">
        <f>SUMPRODUCT(($E$7:$E$54=AB38)*($U$7:$U$54)*($G$7:$G$54))+SUMPRODUCT(($H$7:$H$54=AB38)*($U$7:$U$54)*($F$7:$F$54))</f>
        <v>0</v>
      </c>
      <c r="AT38" s="60">
        <f>AR38-AS38</f>
        <v>0</v>
      </c>
      <c r="AY38" s="146">
        <v>56</v>
      </c>
      <c r="AZ38" s="27" t="str">
        <f>AO50</f>
        <v>1H</v>
      </c>
      <c r="BA38" s="28"/>
      <c r="BB38" s="29"/>
      <c r="BC38" s="39"/>
      <c r="BD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</row>
    <row r="39" spans="1:72" ht="15" customHeight="1" x14ac:dyDescent="0.25">
      <c r="A39" s="18">
        <v>33</v>
      </c>
      <c r="B39" s="19" t="str">
        <f t="shared" si="0"/>
        <v>Dush</v>
      </c>
      <c r="C39" s="20" t="str">
        <f t="shared" si="1"/>
        <v>Iyun 25, 2018</v>
      </c>
      <c r="D39" s="21">
        <f t="shared" si="8"/>
        <v>0.79166666666666663</v>
      </c>
      <c r="E39" s="22" t="str">
        <f>AB11</f>
        <v>Urugvay</v>
      </c>
      <c r="F39" s="23"/>
      <c r="G39" s="24"/>
      <c r="H39" s="65" t="str">
        <f>AB8</f>
        <v>Rossiya</v>
      </c>
      <c r="J39" s="67" t="str">
        <f>VLOOKUP(1,AA38:AK41,2,FALSE)</f>
        <v>Germaniya</v>
      </c>
      <c r="K39" s="68">
        <f>L39+M39+N39</f>
        <v>0</v>
      </c>
      <c r="L39" s="68">
        <f>VLOOKUP(1,AA38:AK41,3,FALSE)</f>
        <v>0</v>
      </c>
      <c r="M39" s="68">
        <f>VLOOKUP(1,AA38:AK41,4,FALSE)</f>
        <v>0</v>
      </c>
      <c r="N39" s="68">
        <f>VLOOKUP(1,AA38:AK41,5,FALSE)</f>
        <v>0</v>
      </c>
      <c r="O39" s="68" t="str">
        <f>VLOOKUP(1,AA38:AK41,6,FALSE) &amp; " - " &amp; VLOOKUP(1,AA38:AK41,7,FALSE)</f>
        <v>0 - 0</v>
      </c>
      <c r="P39" s="69">
        <f>L39*3+M39</f>
        <v>0</v>
      </c>
      <c r="R39" s="56">
        <f>DATE(2018,6,25)+TIME(3,0,0)+gmt_delta</f>
        <v>43276.791666666664</v>
      </c>
      <c r="S39" s="63" t="str">
        <f t="shared" si="2"/>
        <v/>
      </c>
      <c r="T39" s="63" t="str">
        <f t="shared" si="3"/>
        <v/>
      </c>
      <c r="U39" s="57">
        <f t="shared" si="4"/>
        <v>0</v>
      </c>
      <c r="V39" s="56">
        <f t="shared" si="5"/>
        <v>0</v>
      </c>
      <c r="W39" s="56">
        <f t="shared" si="6"/>
        <v>0</v>
      </c>
      <c r="X39" s="56">
        <f t="shared" si="7"/>
        <v>0</v>
      </c>
      <c r="Y39" s="56" t="str">
        <f t="shared" si="9"/>
        <v/>
      </c>
      <c r="AA39" s="56">
        <f>COUNTIF(AN38:AN41,CONCATENATE("&gt;=",AN39))</f>
        <v>2</v>
      </c>
      <c r="AB39" s="57" t="str">
        <f>VLOOKUP("Mexico",T,lang,FALSE)</f>
        <v>Meksika</v>
      </c>
      <c r="AC39" s="56">
        <f>COUNTIF($S$7:$T$54,"=" &amp; AB39 &amp; "_win")</f>
        <v>0</v>
      </c>
      <c r="AD39" s="56">
        <f>COUNTIF($S$7:$T$54,"=" &amp; AB39 &amp; "_draw")</f>
        <v>0</v>
      </c>
      <c r="AE39" s="56">
        <f>COUNTIF($S$7:$T$54,"=" &amp; AB39 &amp; "_lose")</f>
        <v>0</v>
      </c>
      <c r="AF39" s="56">
        <f>SUMIF($E$7:$E$54,$AB39,$F$7:$F$54) + SUMIF($H$7:$H$54,$AB39,$G$7:$G$54)</f>
        <v>0</v>
      </c>
      <c r="AG39" s="56">
        <f>SUMIF($E$7:$E$54,$AB39,$G$7:$G$54) + SUMIF($H$7:$H$54,$AB39,$F$7:$F$54)</f>
        <v>0</v>
      </c>
      <c r="AH39" s="56">
        <f>(AF39-AG39)*100+AK39*10000+AF39</f>
        <v>0</v>
      </c>
      <c r="AI39" s="56">
        <f>AF39-AG39</f>
        <v>0</v>
      </c>
      <c r="AJ39" s="56">
        <f>(AI39-AI43)/AI42</f>
        <v>0</v>
      </c>
      <c r="AK39" s="56">
        <f>AC39*3+AD39</f>
        <v>0</v>
      </c>
      <c r="AL39" s="56">
        <f>AP39/AP42*1000+AQ39/AQ42*100+AT39/AT42*10+AR39/AR42</f>
        <v>0</v>
      </c>
      <c r="AM39" s="56">
        <f>VLOOKUP(AB39,db_fifarank,2,FALSE)/2000000</f>
        <v>5.1599999999999997E-4</v>
      </c>
      <c r="AN39" s="57">
        <f>1000*AK39/AK42+100*AJ39+10*AF39/AF42+1*AL39/AL42+AM39</f>
        <v>5.1599999999999997E-4</v>
      </c>
      <c r="AO39" s="58" t="str">
        <f>IF(SUM(AC38:AE41)=12,J40,INDEX(T,81,lang))</f>
        <v>2F</v>
      </c>
      <c r="AP39" s="59">
        <f>SUMPRODUCT(($S$7:$S$54=AB39&amp;"_win")*($U$7:$U$54))+SUMPRODUCT(($T$7:$T$54=AB39&amp;"_win")*($U$7:$U$54))</f>
        <v>0</v>
      </c>
      <c r="AQ39" s="60">
        <f>SUMPRODUCT(($S$7:$S$54=AB39&amp;"_draw")*($U$7:$U$54))+SUMPRODUCT(($T$7:$T$54=AB39&amp;"_draw")*($U$7:$U$54))</f>
        <v>0</v>
      </c>
      <c r="AR39" s="60">
        <f>SUMPRODUCT(($E$7:$E$54=AB39)*($U$7:$U$54)*($F$7:$F$54))+SUMPRODUCT(($H$7:$H$54=AB39)*($U$7:$U$54)*($G$7:$G$54))</f>
        <v>0</v>
      </c>
      <c r="AS39" s="60">
        <f>SUMPRODUCT(($E$7:$E$54=AB39)*($U$7:$U$54)*($G$7:$G$54))+SUMPRODUCT(($H$7:$H$54=AB39)*($U$7:$U$54)*($F$7:$F$54))</f>
        <v>0</v>
      </c>
      <c r="AT39" s="60">
        <f>AR39-AS39</f>
        <v>0</v>
      </c>
      <c r="AY39" s="147"/>
      <c r="AZ39" s="30" t="str">
        <f>AO45</f>
        <v>2G</v>
      </c>
      <c r="BA39" s="31"/>
      <c r="BB39" s="32"/>
      <c r="BC39" s="25"/>
      <c r="BD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</row>
    <row r="40" spans="1:72" ht="15" customHeight="1" thickBot="1" x14ac:dyDescent="0.3">
      <c r="A40" s="18">
        <v>34</v>
      </c>
      <c r="B40" s="19" t="str">
        <f t="shared" si="0"/>
        <v>Dush</v>
      </c>
      <c r="C40" s="20" t="str">
        <f t="shared" si="1"/>
        <v>Iyun 25, 2018</v>
      </c>
      <c r="D40" s="21">
        <f t="shared" si="8"/>
        <v>0.79166666666666663</v>
      </c>
      <c r="E40" s="22" t="str">
        <f>AB9</f>
        <v>Saudiya Arabistoni</v>
      </c>
      <c r="F40" s="23"/>
      <c r="G40" s="24"/>
      <c r="H40" s="65" t="str">
        <f>AB10</f>
        <v>Misr</v>
      </c>
      <c r="J40" s="70" t="str">
        <f>VLOOKUP(2,AA38:AK41,2,FALSE)</f>
        <v>Meksika</v>
      </c>
      <c r="K40" s="26">
        <f>L40+M40+N40</f>
        <v>0</v>
      </c>
      <c r="L40" s="26">
        <f>VLOOKUP(2,AA38:AK41,3,FALSE)</f>
        <v>0</v>
      </c>
      <c r="M40" s="26">
        <f>VLOOKUP(2,AA38:AK41,4,FALSE)</f>
        <v>0</v>
      </c>
      <c r="N40" s="26">
        <f>VLOOKUP(2,AA38:AK41,5,FALSE)</f>
        <v>0</v>
      </c>
      <c r="O40" s="26" t="str">
        <f>VLOOKUP(2,AA38:AK41,6,FALSE) &amp; " - " &amp; VLOOKUP(2,AA38:AK41,7,FALSE)</f>
        <v>0 - 0</v>
      </c>
      <c r="P40" s="71">
        <f>L40*3+M40</f>
        <v>0</v>
      </c>
      <c r="R40" s="56">
        <f>DATE(2018,6,25)+TIME(3,0,0)+gmt_delta</f>
        <v>43276.791666666664</v>
      </c>
      <c r="S40" s="63" t="str">
        <f t="shared" si="2"/>
        <v/>
      </c>
      <c r="T40" s="63" t="str">
        <f t="shared" si="3"/>
        <v/>
      </c>
      <c r="U40" s="57">
        <f t="shared" si="4"/>
        <v>0</v>
      </c>
      <c r="V40" s="56">
        <f t="shared" si="5"/>
        <v>0</v>
      </c>
      <c r="W40" s="56">
        <f t="shared" si="6"/>
        <v>0</v>
      </c>
      <c r="X40" s="56">
        <f t="shared" si="7"/>
        <v>0</v>
      </c>
      <c r="Y40" s="56" t="str">
        <f t="shared" si="9"/>
        <v/>
      </c>
      <c r="AA40" s="56">
        <f>COUNTIF(AN38:AN41,CONCATENATE("&gt;=",AN40))</f>
        <v>3</v>
      </c>
      <c r="AB40" s="57" t="str">
        <f>VLOOKUP("Sweden",T,lang,FALSE)</f>
        <v>Shvetsiya</v>
      </c>
      <c r="AC40" s="56">
        <f>COUNTIF($S$7:$T$54,"=" &amp; AB40 &amp; "_win")</f>
        <v>0</v>
      </c>
      <c r="AD40" s="56">
        <f>COUNTIF($S$7:$T$54,"=" &amp; AB40 &amp; "_draw")</f>
        <v>0</v>
      </c>
      <c r="AE40" s="56">
        <f>COUNTIF($S$7:$T$54,"=" &amp; AB40 &amp; "_lose")</f>
        <v>0</v>
      </c>
      <c r="AF40" s="56">
        <f>SUMIF($E$7:$E$54,$AB40,$F$7:$F$54) + SUMIF($H$7:$H$54,$AB40,$G$7:$G$54)</f>
        <v>0</v>
      </c>
      <c r="AG40" s="56">
        <f>SUMIF($E$7:$E$54,$AB40,$G$7:$G$54) + SUMIF($H$7:$H$54,$AB40,$F$7:$F$54)</f>
        <v>0</v>
      </c>
      <c r="AH40" s="56">
        <f>(AF40-AG40)*100+AK40*10000+AF40</f>
        <v>0</v>
      </c>
      <c r="AI40" s="56">
        <f>AF40-AG40</f>
        <v>0</v>
      </c>
      <c r="AJ40" s="56">
        <f>(AI40-AI43)/AI42</f>
        <v>0</v>
      </c>
      <c r="AK40" s="56">
        <f>AC40*3+AD40</f>
        <v>0</v>
      </c>
      <c r="AL40" s="56">
        <f>AP40/AP42*1000+AQ40/AQ42*100+AT40/AT42*10+AR40/AR42</f>
        <v>0</v>
      </c>
      <c r="AM40" s="56">
        <f>VLOOKUP(AB40,db_fifarank,2,FALSE)/2000000</f>
        <v>4.9899999999999999E-4</v>
      </c>
      <c r="AN40" s="57">
        <f>1000*AK40/AK42+100*AJ40+10*AF40/AF42+1*AL40/AL42+AM40</f>
        <v>4.9899999999999999E-4</v>
      </c>
      <c r="AP40" s="59">
        <f>SUMPRODUCT(($S$7:$S$54=AB40&amp;"_win")*($U$7:$U$54))+SUMPRODUCT(($T$7:$T$54=AB40&amp;"_win")*($U$7:$U$54))</f>
        <v>0</v>
      </c>
      <c r="AQ40" s="60">
        <f>SUMPRODUCT(($S$7:$S$54=AB40&amp;"_draw")*($U$7:$U$54))+SUMPRODUCT(($T$7:$T$54=AB40&amp;"_draw")*($U$7:$U$54))</f>
        <v>0</v>
      </c>
      <c r="AR40" s="60">
        <f>SUMPRODUCT(($E$7:$E$54=AB40)*($U$7:$U$54)*($F$7:$F$54))+SUMPRODUCT(($H$7:$H$54=AB40)*($U$7:$U$54)*($G$7:$G$54))</f>
        <v>0</v>
      </c>
      <c r="AS40" s="60">
        <f>SUMPRODUCT(($E$7:$E$54=AB40)*($U$7:$U$54)*($G$7:$G$54))+SUMPRODUCT(($H$7:$H$54=AB40)*($U$7:$U$54)*($F$7:$F$54))</f>
        <v>0</v>
      </c>
      <c r="AT40" s="60">
        <f>AR40-AS40</f>
        <v>0</v>
      </c>
    </row>
    <row r="41" spans="1:72" ht="15" customHeight="1" x14ac:dyDescent="0.25">
      <c r="A41" s="18">
        <v>35</v>
      </c>
      <c r="B41" s="19" t="str">
        <f t="shared" si="0"/>
        <v>Dush</v>
      </c>
      <c r="C41" s="20" t="str">
        <f t="shared" si="1"/>
        <v>Iyun 25, 2018</v>
      </c>
      <c r="D41" s="21">
        <f t="shared" si="8"/>
        <v>0.95833333333333337</v>
      </c>
      <c r="E41" s="22" t="str">
        <f>AB17</f>
        <v>Eron</v>
      </c>
      <c r="F41" s="23"/>
      <c r="G41" s="24"/>
      <c r="H41" s="65" t="str">
        <f>AB14</f>
        <v>Portugaliya</v>
      </c>
      <c r="J41" s="70" t="str">
        <f>VLOOKUP(3,AA38:AK41,2,FALSE)</f>
        <v>Shvetsiya</v>
      </c>
      <c r="K41" s="26">
        <f>L41+M41+N41</f>
        <v>0</v>
      </c>
      <c r="L41" s="26">
        <f>VLOOKUP(3,AA38:AK41,3,FALSE)</f>
        <v>0</v>
      </c>
      <c r="M41" s="26">
        <f>VLOOKUP(3,AA38:AK41,4,FALSE)</f>
        <v>0</v>
      </c>
      <c r="N41" s="26">
        <f>VLOOKUP(3,AA38:AK41,5,FALSE)</f>
        <v>0</v>
      </c>
      <c r="O41" s="26" t="str">
        <f>VLOOKUP(3,AA38:AK41,6,FALSE) &amp; " - " &amp; VLOOKUP(3,AA38:AK41,7,FALSE)</f>
        <v>0 - 0</v>
      </c>
      <c r="P41" s="71">
        <f>L41*3+M41</f>
        <v>0</v>
      </c>
      <c r="R41" s="56">
        <f>DATE(2018,6,25)+TIME(7,0,0)+gmt_delta</f>
        <v>43276.958333333328</v>
      </c>
      <c r="S41" s="63" t="str">
        <f t="shared" si="2"/>
        <v/>
      </c>
      <c r="T41" s="63" t="str">
        <f t="shared" si="3"/>
        <v/>
      </c>
      <c r="U41" s="57">
        <f t="shared" si="4"/>
        <v>0</v>
      </c>
      <c r="V41" s="56">
        <f t="shared" si="5"/>
        <v>0</v>
      </c>
      <c r="W41" s="56">
        <f t="shared" si="6"/>
        <v>0</v>
      </c>
      <c r="X41" s="56">
        <f t="shared" si="7"/>
        <v>0</v>
      </c>
      <c r="Y41" s="56" t="str">
        <f t="shared" si="9"/>
        <v/>
      </c>
      <c r="AA41" s="56">
        <f>COUNTIF(AN38:AN41,CONCATENATE("&gt;=",AN41))</f>
        <v>4</v>
      </c>
      <c r="AB41" s="57" t="str">
        <f>VLOOKUP("Korea Republic",T,lang,FALSE)</f>
        <v>Janubiy Koreya</v>
      </c>
      <c r="AC41" s="56">
        <f>COUNTIF($S$7:$T$54,"=" &amp; AB41 &amp; "_win")</f>
        <v>0</v>
      </c>
      <c r="AD41" s="56">
        <f>COUNTIF($S$7:$T$54,"=" &amp; AB41 &amp; "_draw")</f>
        <v>0</v>
      </c>
      <c r="AE41" s="56">
        <f>COUNTIF($S$7:$T$54,"=" &amp; AB41 &amp; "_lose")</f>
        <v>0</v>
      </c>
      <c r="AF41" s="56">
        <f>SUMIF($E$7:$E$54,$AB41,$F$7:$F$54) + SUMIF($H$7:$H$54,$AB41,$G$7:$G$54)</f>
        <v>0</v>
      </c>
      <c r="AG41" s="56">
        <f>SUMIF($E$7:$E$54,$AB41,$G$7:$G$54) + SUMIF($H$7:$H$54,$AB41,$F$7:$F$54)</f>
        <v>0</v>
      </c>
      <c r="AH41" s="56">
        <f>(AF41-AG41)*100+AK41*10000+AF41</f>
        <v>0</v>
      </c>
      <c r="AI41" s="56">
        <f>AF41-AG41</f>
        <v>0</v>
      </c>
      <c r="AJ41" s="56">
        <f>(AI41-AI43)/AI42</f>
        <v>0</v>
      </c>
      <c r="AK41" s="56">
        <f>AC41*3+AD41</f>
        <v>0</v>
      </c>
      <c r="AL41" s="56">
        <f>AP41/AP42*1000+AQ41/AQ42*100+AT41/AT42*10+AR41/AR42</f>
        <v>0</v>
      </c>
      <c r="AM41" s="56">
        <f>VLOOKUP(AB41,db_fifarank,2,FALSE)/2000000</f>
        <v>2.8499999999999999E-4</v>
      </c>
      <c r="AN41" s="57">
        <f>1000*AK41/AK42+100*AJ41+10*AF41/AF42+1*AL41/AL42+AM41</f>
        <v>2.8499999999999999E-4</v>
      </c>
      <c r="AP41" s="59">
        <f>SUMPRODUCT(($S$7:$S$54=AB41&amp;"_win")*($U$7:$U$54))+SUMPRODUCT(($T$7:$T$54=AB41&amp;"_win")*($U$7:$U$54))</f>
        <v>0</v>
      </c>
      <c r="AQ41" s="60">
        <f>SUMPRODUCT(($S$7:$S$54=AB41&amp;"_draw")*($U$7:$U$54))+SUMPRODUCT(($T$7:$T$54=AB41&amp;"_draw")*($U$7:$U$54))</f>
        <v>0</v>
      </c>
      <c r="AR41" s="60">
        <f>SUMPRODUCT(($E$7:$E$54=AB41)*($U$7:$U$54)*($F$7:$F$54))+SUMPRODUCT(($H$7:$H$54=AB41)*($U$7:$U$54)*($G$7:$G$54))</f>
        <v>0</v>
      </c>
      <c r="AS41" s="60">
        <f>SUMPRODUCT(($E$7:$E$54=AB41)*($U$7:$U$54)*($G$7:$G$54))+SUMPRODUCT(($H$7:$H$54=AB41)*($U$7:$U$54)*($F$7:$F$54))</f>
        <v>0</v>
      </c>
      <c r="AT41" s="60">
        <f>AR41-AS41</f>
        <v>0</v>
      </c>
      <c r="BJ41" s="198" t="str">
        <f>INDEX(T,102,lang)</f>
        <v>2018-yilgi JAHON CHEMPIONI</v>
      </c>
      <c r="BK41" s="198"/>
      <c r="BL41" s="198"/>
      <c r="BM41" s="198"/>
      <c r="BN41" s="198"/>
      <c r="BO41" s="200" t="str">
        <f>S85</f>
        <v/>
      </c>
      <c r="BP41" s="200"/>
      <c r="BQ41" s="200"/>
      <c r="BR41" s="200"/>
      <c r="BS41" s="200"/>
      <c r="BT41" s="200"/>
    </row>
    <row r="42" spans="1:72" ht="15" customHeight="1" x14ac:dyDescent="0.25">
      <c r="A42" s="18">
        <v>36</v>
      </c>
      <c r="B42" s="19" t="str">
        <f t="shared" si="0"/>
        <v>Dush</v>
      </c>
      <c r="C42" s="20" t="str">
        <f t="shared" si="1"/>
        <v>Iyun 25, 2018</v>
      </c>
      <c r="D42" s="21">
        <f t="shared" si="8"/>
        <v>0.95833333333333337</v>
      </c>
      <c r="E42" s="22" t="str">
        <f>AB15</f>
        <v>Ispaniya</v>
      </c>
      <c r="F42" s="23"/>
      <c r="G42" s="24"/>
      <c r="H42" s="65" t="str">
        <f>AB16</f>
        <v>Marokash</v>
      </c>
      <c r="J42" s="72" t="str">
        <f>VLOOKUP(4,AA38:AK41,2,FALSE)</f>
        <v>Janubiy Koreya</v>
      </c>
      <c r="K42" s="73">
        <f>L42+M42+N42</f>
        <v>0</v>
      </c>
      <c r="L42" s="73">
        <f>VLOOKUP(4,AA38:AK41,3,FALSE)</f>
        <v>0</v>
      </c>
      <c r="M42" s="73">
        <f>VLOOKUP(4,AA38:AK41,4,FALSE)</f>
        <v>0</v>
      </c>
      <c r="N42" s="73">
        <f>VLOOKUP(4,AA38:AK41,5,FALSE)</f>
        <v>0</v>
      </c>
      <c r="O42" s="73" t="str">
        <f>VLOOKUP(4,AA38:AK41,6,FALSE) &amp; " - " &amp; VLOOKUP(4,AA38:AK41,7,FALSE)</f>
        <v>0 - 0</v>
      </c>
      <c r="P42" s="74">
        <f>L42*3+M42</f>
        <v>0</v>
      </c>
      <c r="R42" s="56">
        <f>DATE(2018,6,25)+TIME(7,0,0)+gmt_delta</f>
        <v>43276.958333333328</v>
      </c>
      <c r="S42" s="63" t="str">
        <f t="shared" si="2"/>
        <v/>
      </c>
      <c r="T42" s="63" t="str">
        <f t="shared" si="3"/>
        <v/>
      </c>
      <c r="U42" s="57">
        <f t="shared" si="4"/>
        <v>0</v>
      </c>
      <c r="V42" s="56">
        <f t="shared" si="5"/>
        <v>0</v>
      </c>
      <c r="W42" s="56">
        <f t="shared" si="6"/>
        <v>0</v>
      </c>
      <c r="X42" s="56">
        <f t="shared" si="7"/>
        <v>0</v>
      </c>
      <c r="Y42" s="56" t="str">
        <f t="shared" si="9"/>
        <v/>
      </c>
      <c r="AC42" s="56">
        <f t="shared" ref="AC42:AL42" si="15">MAX(AC38:AC41)-MIN(AC38:AC41)+1</f>
        <v>1</v>
      </c>
      <c r="AD42" s="56">
        <f t="shared" si="15"/>
        <v>1</v>
      </c>
      <c r="AE42" s="56">
        <f t="shared" si="15"/>
        <v>1</v>
      </c>
      <c r="AF42" s="56">
        <f t="shared" si="15"/>
        <v>1</v>
      </c>
      <c r="AG42" s="56">
        <f t="shared" si="15"/>
        <v>1</v>
      </c>
      <c r="AH42" s="56">
        <f>MAX(AH38:AH41)-AH43+1</f>
        <v>1</v>
      </c>
      <c r="AI42" s="56">
        <f>MAX(AI38:AI41)-AI43+1</f>
        <v>1</v>
      </c>
      <c r="AK42" s="56">
        <f t="shared" si="15"/>
        <v>1</v>
      </c>
      <c r="AL42" s="56">
        <f t="shared" si="15"/>
        <v>1</v>
      </c>
      <c r="AP42" s="56">
        <f>MAX(AP38:AP41)-MIN(AP38:AP41)+1</f>
        <v>1</v>
      </c>
      <c r="AQ42" s="56">
        <f>MAX(AQ38:AQ41)-MIN(AQ38:AQ41)+1</f>
        <v>1</v>
      </c>
      <c r="AR42" s="56">
        <f>MAX(AR38:AR41)-MIN(AR38:AR41)+1</f>
        <v>1</v>
      </c>
      <c r="AS42" s="56">
        <f>MAX(AS38:AS41)-MIN(AS38:AS41)+1</f>
        <v>1</v>
      </c>
      <c r="AT42" s="56">
        <f>MAX(AT38:AT41)-MIN(AT38:AT41)+1</f>
        <v>1</v>
      </c>
      <c r="BJ42" s="199"/>
      <c r="BK42" s="199"/>
      <c r="BL42" s="199"/>
      <c r="BM42" s="199"/>
      <c r="BN42" s="199"/>
      <c r="BO42" s="201"/>
      <c r="BP42" s="201"/>
      <c r="BQ42" s="201"/>
      <c r="BR42" s="201"/>
      <c r="BS42" s="201"/>
      <c r="BT42" s="201"/>
    </row>
    <row r="43" spans="1:72" ht="15" customHeight="1" x14ac:dyDescent="0.25">
      <c r="A43" s="18">
        <v>37</v>
      </c>
      <c r="B43" s="19" t="str">
        <f t="shared" si="0"/>
        <v>Sesh</v>
      </c>
      <c r="C43" s="20" t="str">
        <f t="shared" si="1"/>
        <v>Iyun 26, 2018</v>
      </c>
      <c r="D43" s="21">
        <f t="shared" si="8"/>
        <v>0.79166666666666663</v>
      </c>
      <c r="E43" s="22" t="str">
        <f>AB23</f>
        <v>Daniya</v>
      </c>
      <c r="F43" s="23"/>
      <c r="G43" s="24"/>
      <c r="H43" s="65" t="str">
        <f>AB20</f>
        <v>Fransiya</v>
      </c>
      <c r="R43" s="56">
        <f>DATE(2018,6,26)+TIME(3,0,0)+gmt_delta</f>
        <v>43277.791666666664</v>
      </c>
      <c r="S43" s="63" t="str">
        <f t="shared" si="2"/>
        <v/>
      </c>
      <c r="T43" s="63" t="str">
        <f t="shared" si="3"/>
        <v/>
      </c>
      <c r="U43" s="57">
        <f t="shared" si="4"/>
        <v>0</v>
      </c>
      <c r="V43" s="56">
        <f t="shared" si="5"/>
        <v>0</v>
      </c>
      <c r="W43" s="56">
        <f t="shared" si="6"/>
        <v>0</v>
      </c>
      <c r="X43" s="56">
        <f t="shared" si="7"/>
        <v>0</v>
      </c>
      <c r="Y43" s="56" t="str">
        <f t="shared" si="9"/>
        <v/>
      </c>
      <c r="AH43" s="56">
        <f>MIN(AH38:AH41)</f>
        <v>0</v>
      </c>
      <c r="AI43" s="56">
        <f>MIN(AI38:AI41)</f>
        <v>0</v>
      </c>
      <c r="AY43" s="202" t="s">
        <v>2579</v>
      </c>
      <c r="AZ43" s="203"/>
      <c r="BA43" s="203"/>
      <c r="BB43" s="204"/>
    </row>
    <row r="44" spans="1:72" ht="15" customHeight="1" x14ac:dyDescent="0.25">
      <c r="A44" s="18">
        <v>38</v>
      </c>
      <c r="B44" s="19" t="str">
        <f t="shared" si="0"/>
        <v>Sesh</v>
      </c>
      <c r="C44" s="20" t="str">
        <f t="shared" si="1"/>
        <v>Iyun 26, 2018</v>
      </c>
      <c r="D44" s="21">
        <f t="shared" si="8"/>
        <v>0.79166666666666663</v>
      </c>
      <c r="E44" s="22" t="str">
        <f>AB21</f>
        <v>Avstraliya</v>
      </c>
      <c r="F44" s="23"/>
      <c r="G44" s="24"/>
      <c r="H44" s="65" t="str">
        <f>AB22</f>
        <v>Peru</v>
      </c>
      <c r="J44" s="75" t="str">
        <f>INDEX(T,9,lang) &amp; " " &amp; "G"</f>
        <v>Guruh G</v>
      </c>
      <c r="K44" s="76" t="str">
        <f>INDEX(T,10,lang)</f>
        <v>O'</v>
      </c>
      <c r="L44" s="76" t="str">
        <f>INDEX(T,11,lang)</f>
        <v>Yu</v>
      </c>
      <c r="M44" s="76" t="str">
        <f>INDEX(T,12,lang)</f>
        <v>D</v>
      </c>
      <c r="N44" s="76" t="str">
        <f>INDEX(T,13,lang)</f>
        <v>M</v>
      </c>
      <c r="O44" s="76" t="str">
        <f>INDEX(T,14,lang)</f>
        <v>UrGol-O'tGol</v>
      </c>
      <c r="P44" s="77" t="str">
        <f>INDEX(T,15,lang)</f>
        <v>Ochko</v>
      </c>
      <c r="R44" s="56">
        <f>DATE(2018,6,26)+TIME(3,0,0)+gmt_delta</f>
        <v>43277.791666666664</v>
      </c>
      <c r="S44" s="63" t="str">
        <f t="shared" si="2"/>
        <v/>
      </c>
      <c r="T44" s="63" t="str">
        <f t="shared" si="3"/>
        <v/>
      </c>
      <c r="U44" s="57">
        <f t="shared" si="4"/>
        <v>0</v>
      </c>
      <c r="V44" s="56">
        <f t="shared" si="5"/>
        <v>0</v>
      </c>
      <c r="W44" s="56">
        <f t="shared" si="6"/>
        <v>0</v>
      </c>
      <c r="X44" s="56">
        <f t="shared" si="7"/>
        <v>0</v>
      </c>
      <c r="Y44" s="56" t="str">
        <f t="shared" si="9"/>
        <v/>
      </c>
      <c r="AA44" s="56">
        <f>COUNTIF(AN44:AN47,CONCATENATE("&gt;=",AN44))</f>
        <v>1</v>
      </c>
      <c r="AB44" s="57" t="str">
        <f>VLOOKUP("Belgium",T,lang,FALSE)</f>
        <v>Belgiya</v>
      </c>
      <c r="AC44" s="56">
        <f>COUNTIF($S$7:$T$54,"=" &amp; AB44 &amp; "_win")</f>
        <v>0</v>
      </c>
      <c r="AD44" s="56">
        <f>COUNTIF($S$7:$T$54,"=" &amp; AB44 &amp; "_draw")</f>
        <v>0</v>
      </c>
      <c r="AE44" s="56">
        <f>COUNTIF($S$7:$T$54,"=" &amp; AB44 &amp; "_lose")</f>
        <v>0</v>
      </c>
      <c r="AF44" s="56">
        <f>SUMIF($E$7:$E$54,$AB44,$F$7:$F$54) + SUMIF($H$7:$H$54,$AB44,$G$7:$G$54)</f>
        <v>0</v>
      </c>
      <c r="AG44" s="56">
        <f>SUMIF($E$7:$E$54,$AB44,$G$7:$G$54) + SUMIF($H$7:$H$54,$AB44,$F$7:$F$54)</f>
        <v>0</v>
      </c>
      <c r="AH44" s="56">
        <f>(AF44-AG44)*100+AK44*10000+AF44</f>
        <v>0</v>
      </c>
      <c r="AI44" s="56">
        <f>AF44-AG44</f>
        <v>0</v>
      </c>
      <c r="AJ44" s="56">
        <f>(AI44-AI49)/AI48</f>
        <v>0</v>
      </c>
      <c r="AK44" s="56">
        <f>AC44*3+AD44</f>
        <v>0</v>
      </c>
      <c r="AL44" s="56">
        <f>AP44/AP48*1000+AQ44/AQ48*100+AT44/AT48*10+AR44/AR48</f>
        <v>0</v>
      </c>
      <c r="AM44" s="56">
        <f>VLOOKUP(AB44,db_fifarank,2,FALSE)/2000000</f>
        <v>6.625E-4</v>
      </c>
      <c r="AN44" s="57">
        <f>1000*AK44/AK48+100*AJ44+10*AF44/AF48+1*AL44/AL48+AM44</f>
        <v>6.625E-4</v>
      </c>
      <c r="AO44" s="58" t="str">
        <f>IF(SUM(AC44:AE47)=12,J45,INDEX(T,82,lang))</f>
        <v>1G</v>
      </c>
      <c r="AP44" s="59">
        <f>SUMPRODUCT(($S$7:$S$54=AB44&amp;"_win")*($U$7:$U$54))+SUMPRODUCT(($T$7:$T$54=AB44&amp;"_win")*($U$7:$U$54))</f>
        <v>0</v>
      </c>
      <c r="AQ44" s="60">
        <f>SUMPRODUCT(($S$7:$S$54=AB44&amp;"_draw")*($U$7:$U$54))+SUMPRODUCT(($T$7:$T$54=AB44&amp;"_draw")*($U$7:$U$54))</f>
        <v>0</v>
      </c>
      <c r="AR44" s="60">
        <f>SUMPRODUCT(($E$7:$E$54=AB44)*($U$7:$U$54)*($F$7:$F$54))+SUMPRODUCT(($H$7:$H$54=AB44)*($U$7:$U$54)*($G$7:$G$54))</f>
        <v>0</v>
      </c>
      <c r="AS44" s="60">
        <f>SUMPRODUCT(($E$7:$E$54=AB44)*($U$7:$U$54)*($G$7:$G$54))+SUMPRODUCT(($H$7:$H$54=AB44)*($U$7:$U$54)*($F$7:$F$54))</f>
        <v>0</v>
      </c>
      <c r="AT44" s="60">
        <f>AR44-AS44</f>
        <v>0</v>
      </c>
      <c r="AY44" s="205"/>
      <c r="AZ44" s="206"/>
      <c r="BA44" s="206"/>
      <c r="BB44" s="207"/>
    </row>
    <row r="45" spans="1:72" ht="15" customHeight="1" x14ac:dyDescent="0.25">
      <c r="A45" s="18">
        <v>39</v>
      </c>
      <c r="B45" s="19" t="str">
        <f t="shared" si="0"/>
        <v>Sesh</v>
      </c>
      <c r="C45" s="20" t="str">
        <f t="shared" si="1"/>
        <v>Iyun 26, 2018</v>
      </c>
      <c r="D45" s="21">
        <f t="shared" si="8"/>
        <v>0.95833333333333337</v>
      </c>
      <c r="E45" s="22" t="str">
        <f>AB29</f>
        <v>Nigeriya</v>
      </c>
      <c r="F45" s="23"/>
      <c r="G45" s="24"/>
      <c r="H45" s="65" t="str">
        <f>AB26</f>
        <v>Argentina</v>
      </c>
      <c r="J45" s="67" t="str">
        <f>VLOOKUP(1,AA44:AK47,2,FALSE)</f>
        <v>Belgiya</v>
      </c>
      <c r="K45" s="68">
        <f>L45+M45+N45</f>
        <v>0</v>
      </c>
      <c r="L45" s="68">
        <f>VLOOKUP(1,AA44:AK47,3,FALSE)</f>
        <v>0</v>
      </c>
      <c r="M45" s="68">
        <f>VLOOKUP(1,AA44:AK47,4,FALSE)</f>
        <v>0</v>
      </c>
      <c r="N45" s="68">
        <f>VLOOKUP(1,AA44:AK47,5,FALSE)</f>
        <v>0</v>
      </c>
      <c r="O45" s="68" t="str">
        <f>VLOOKUP(1,AA44:AK47,6,FALSE) &amp; " - " &amp; VLOOKUP(1,AA44:AK47,7,FALSE)</f>
        <v>0 - 0</v>
      </c>
      <c r="P45" s="69">
        <f>L45*3+M45</f>
        <v>0</v>
      </c>
      <c r="R45" s="56">
        <f>DATE(2018,6,26)+TIME(7,0,0)+gmt_delta</f>
        <v>43277.958333333328</v>
      </c>
      <c r="S45" s="63" t="str">
        <f t="shared" si="2"/>
        <v/>
      </c>
      <c r="T45" s="63" t="str">
        <f t="shared" si="3"/>
        <v/>
      </c>
      <c r="U45" s="57">
        <f t="shared" si="4"/>
        <v>0</v>
      </c>
      <c r="V45" s="56">
        <f t="shared" si="5"/>
        <v>0</v>
      </c>
      <c r="W45" s="56">
        <f t="shared" si="6"/>
        <v>0</v>
      </c>
      <c r="X45" s="56">
        <f t="shared" si="7"/>
        <v>1</v>
      </c>
      <c r="Y45" s="56" t="str">
        <f t="shared" si="9"/>
        <v/>
      </c>
      <c r="AA45" s="56">
        <f>COUNTIF(AN44:AN47,CONCATENATE("&gt;=",AN45))</f>
        <v>4</v>
      </c>
      <c r="AB45" s="57" t="str">
        <f>VLOOKUP("Panama",T,lang,FALSE)</f>
        <v>Panama</v>
      </c>
      <c r="AC45" s="56">
        <f>COUNTIF($S$7:$T$54,"=" &amp; AB45 &amp; "_win")</f>
        <v>0</v>
      </c>
      <c r="AD45" s="56">
        <f>COUNTIF($S$7:$T$54,"=" &amp; AB45 &amp; "_draw")</f>
        <v>0</v>
      </c>
      <c r="AE45" s="56">
        <f>COUNTIF($S$7:$T$54,"=" &amp; AB45 &amp; "_lose")</f>
        <v>0</v>
      </c>
      <c r="AF45" s="56">
        <f>SUMIF($E$7:$E$54,$AB45,$F$7:$F$54) + SUMIF($H$7:$H$54,$AB45,$G$7:$G$54)</f>
        <v>0</v>
      </c>
      <c r="AG45" s="56">
        <f>SUMIF($E$7:$E$54,$AB45,$G$7:$G$54) + SUMIF($H$7:$H$54,$AB45,$F$7:$F$54)</f>
        <v>0</v>
      </c>
      <c r="AH45" s="56">
        <f>(AF45-AG45)*100+AK45*10000+AF45</f>
        <v>0</v>
      </c>
      <c r="AI45" s="56">
        <f>AF45-AG45</f>
        <v>0</v>
      </c>
      <c r="AJ45" s="56">
        <f>(AI45-AI49)/AI48</f>
        <v>0</v>
      </c>
      <c r="AK45" s="56">
        <f>AC45*3+AD45</f>
        <v>0</v>
      </c>
      <c r="AL45" s="56">
        <f>AP45/AP48*1000+AQ45/AQ48*100+AT45/AT48*10+AR45/AR48</f>
        <v>0</v>
      </c>
      <c r="AM45" s="56">
        <f>VLOOKUP(AB45,db_fifarank,2,FALSE)/2000000</f>
        <v>3.1050000000000001E-4</v>
      </c>
      <c r="AN45" s="57">
        <f>1000*AK45/AK48+100*AJ45+10*AF45/AF48+1*AL45/AL48+AM45</f>
        <v>3.1050000000000001E-4</v>
      </c>
      <c r="AO45" s="58" t="str">
        <f>IF(SUM(AC44:AE47)=12,J46,INDEX(T,83,lang))</f>
        <v>2G</v>
      </c>
      <c r="AP45" s="59">
        <f>SUMPRODUCT(($S$7:$S$54=AB45&amp;"_win")*($U$7:$U$54))+SUMPRODUCT(($T$7:$T$54=AB45&amp;"_win")*($U$7:$U$54))</f>
        <v>0</v>
      </c>
      <c r="AQ45" s="60">
        <f>SUMPRODUCT(($S$7:$S$54=AB45&amp;"_draw")*($U$7:$U$54))+SUMPRODUCT(($T$7:$T$54=AB45&amp;"_draw")*($U$7:$U$54))</f>
        <v>0</v>
      </c>
      <c r="AR45" s="60">
        <f>SUMPRODUCT(($E$7:$E$54=AB45)*($U$7:$U$54)*($F$7:$F$54))+SUMPRODUCT(($H$7:$H$54=AB45)*($U$7:$U$54)*($G$7:$G$54))</f>
        <v>0</v>
      </c>
      <c r="AS45" s="60">
        <f>SUMPRODUCT(($E$7:$E$54=AB45)*($U$7:$U$54)*($G$7:$G$54))+SUMPRODUCT(($H$7:$H$54=AB45)*($U$7:$U$54)*($F$7:$F$54))</f>
        <v>0</v>
      </c>
      <c r="AT45" s="60">
        <f>AR45-AS45</f>
        <v>0</v>
      </c>
    </row>
    <row r="46" spans="1:72" ht="15" customHeight="1" x14ac:dyDescent="0.25">
      <c r="A46" s="18">
        <v>40</v>
      </c>
      <c r="B46" s="19" t="str">
        <f t="shared" si="0"/>
        <v>Sesh</v>
      </c>
      <c r="C46" s="20" t="str">
        <f t="shared" si="1"/>
        <v>Iyun 26, 2018</v>
      </c>
      <c r="D46" s="21">
        <f t="shared" si="8"/>
        <v>0.95833333333333337</v>
      </c>
      <c r="E46" s="22" t="str">
        <f>AB27</f>
        <v>Islandiya</v>
      </c>
      <c r="F46" s="23"/>
      <c r="G46" s="24"/>
      <c r="H46" s="65" t="str">
        <f>AB28</f>
        <v>Xorvatiya</v>
      </c>
      <c r="J46" s="70" t="str">
        <f>VLOOKUP(2,AA44:AK47,2,FALSE)</f>
        <v>Angliya</v>
      </c>
      <c r="K46" s="26">
        <f>L46+M46+N46</f>
        <v>0</v>
      </c>
      <c r="L46" s="26">
        <f>VLOOKUP(2,AA44:AK47,3,FALSE)</f>
        <v>0</v>
      </c>
      <c r="M46" s="26">
        <f>VLOOKUP(2,AA44:AK47,4,FALSE)</f>
        <v>0</v>
      </c>
      <c r="N46" s="26">
        <f>VLOOKUP(2,AA44:AK47,5,FALSE)</f>
        <v>0</v>
      </c>
      <c r="O46" s="26" t="str">
        <f>VLOOKUP(2,AA44:AK47,6,FALSE) &amp; " - " &amp; VLOOKUP(2,AA44:AK47,7,FALSE)</f>
        <v>0 - 0</v>
      </c>
      <c r="P46" s="71">
        <f>L46*3+M46</f>
        <v>0</v>
      </c>
      <c r="R46" s="56">
        <f>DATE(2018,6,26)+TIME(7,0,0)+gmt_delta</f>
        <v>43277.958333333328</v>
      </c>
      <c r="S46" s="63" t="str">
        <f t="shared" si="2"/>
        <v/>
      </c>
      <c r="T46" s="63" t="str">
        <f t="shared" si="3"/>
        <v/>
      </c>
      <c r="U46" s="57">
        <f t="shared" si="4"/>
        <v>0</v>
      </c>
      <c r="V46" s="56">
        <f t="shared" si="5"/>
        <v>0</v>
      </c>
      <c r="W46" s="56">
        <f t="shared" si="6"/>
        <v>0</v>
      </c>
      <c r="X46" s="56">
        <f t="shared" si="7"/>
        <v>0</v>
      </c>
      <c r="Y46" s="56" t="str">
        <f t="shared" si="9"/>
        <v/>
      </c>
      <c r="AA46" s="56">
        <f>COUNTIF(AN44:AN47,CONCATENATE("&gt;=",AN46))</f>
        <v>3</v>
      </c>
      <c r="AB46" s="57" t="str">
        <f>VLOOKUP("Tunisia",T,lang,FALSE)</f>
        <v>Tunis</v>
      </c>
      <c r="AC46" s="56">
        <f>COUNTIF($S$7:$T$54,"=" &amp; AB46 &amp; "_win")</f>
        <v>0</v>
      </c>
      <c r="AD46" s="56">
        <f>COUNTIF($S$7:$T$54,"=" &amp; AB46 &amp; "_draw")</f>
        <v>0</v>
      </c>
      <c r="AE46" s="56">
        <f>COUNTIF($S$7:$T$54,"=" &amp; AB46 &amp; "_lose")</f>
        <v>0</v>
      </c>
      <c r="AF46" s="56">
        <f>SUMIF($E$7:$E$54,$AB46,$F$7:$F$54) + SUMIF($H$7:$H$54,$AB46,$G$7:$G$54)</f>
        <v>0</v>
      </c>
      <c r="AG46" s="56">
        <f>SUMIF($E$7:$E$54,$AB46,$G$7:$G$54) + SUMIF($H$7:$H$54,$AB46,$F$7:$F$54)</f>
        <v>0</v>
      </c>
      <c r="AH46" s="56">
        <f>(AF46-AG46)*100+AK46*10000+AF46</f>
        <v>0</v>
      </c>
      <c r="AI46" s="56">
        <f>AF46-AG46</f>
        <v>0</v>
      </c>
      <c r="AJ46" s="56">
        <f>(AI46-AI49)/AI48</f>
        <v>0</v>
      </c>
      <c r="AK46" s="56">
        <f>AC46*3+AD46</f>
        <v>0</v>
      </c>
      <c r="AL46" s="56">
        <f>AP46/AP48*1000+AQ46/AQ48*100+AT46/AT48*10+AR46/AR48</f>
        <v>0</v>
      </c>
      <c r="AM46" s="56">
        <f>VLOOKUP(AB46,db_fifarank,2,FALSE)/2000000</f>
        <v>4.1899999999999999E-4</v>
      </c>
      <c r="AN46" s="57">
        <f>1000*AK46/AK48+100*AJ46+10*AF46/AF48+1*AL46/AL48+AM46</f>
        <v>4.1899999999999999E-4</v>
      </c>
      <c r="AP46" s="59">
        <f>SUMPRODUCT(($S$7:$S$54=AB46&amp;"_win")*($U$7:$U$54))+SUMPRODUCT(($T$7:$T$54=AB46&amp;"_win")*($U$7:$U$54))</f>
        <v>0</v>
      </c>
      <c r="AQ46" s="60">
        <f>SUMPRODUCT(($S$7:$S$54=AB46&amp;"_draw")*($U$7:$U$54))+SUMPRODUCT(($T$7:$T$54=AB46&amp;"_draw")*($U$7:$U$54))</f>
        <v>0</v>
      </c>
      <c r="AR46" s="60">
        <f>SUMPRODUCT(($E$7:$E$54=AB46)*($U$7:$U$54)*($F$7:$F$54))+SUMPRODUCT(($H$7:$H$54=AB46)*($U$7:$U$54)*($G$7:$G$54))</f>
        <v>0</v>
      </c>
      <c r="AS46" s="60">
        <f>SUMPRODUCT(($E$7:$E$54=AB46)*($U$7:$U$54)*($G$7:$G$54))+SUMPRODUCT(($H$7:$H$54=AB46)*($U$7:$U$54)*($F$7:$F$54))</f>
        <v>0</v>
      </c>
      <c r="AT46" s="60">
        <f>AR46-AS46</f>
        <v>0</v>
      </c>
      <c r="AY46" s="189" t="s">
        <v>2578</v>
      </c>
      <c r="AZ46" s="190"/>
      <c r="BA46" s="190"/>
      <c r="BB46" s="191"/>
    </row>
    <row r="47" spans="1:72" ht="15" customHeight="1" x14ac:dyDescent="0.25">
      <c r="A47" s="18">
        <v>41</v>
      </c>
      <c r="B47" s="19" t="str">
        <f t="shared" si="0"/>
        <v>Chor</v>
      </c>
      <c r="C47" s="20" t="str">
        <f t="shared" si="1"/>
        <v>Iyun 27, 2018</v>
      </c>
      <c r="D47" s="21">
        <f t="shared" si="8"/>
        <v>0.95833333333333337</v>
      </c>
      <c r="E47" s="22" t="str">
        <f>AB35</f>
        <v>Serbiya</v>
      </c>
      <c r="F47" s="23"/>
      <c r="G47" s="24"/>
      <c r="H47" s="65" t="str">
        <f>AB32</f>
        <v>Braziliya</v>
      </c>
      <c r="J47" s="70" t="str">
        <f>VLOOKUP(3,AA44:AK47,2,FALSE)</f>
        <v>Tunis</v>
      </c>
      <c r="K47" s="26">
        <f>L47+M47+N47</f>
        <v>0</v>
      </c>
      <c r="L47" s="26">
        <f>VLOOKUP(3,AA44:AK47,3,FALSE)</f>
        <v>0</v>
      </c>
      <c r="M47" s="26">
        <f>VLOOKUP(3,AA44:AK47,4,FALSE)</f>
        <v>0</v>
      </c>
      <c r="N47" s="26">
        <f>VLOOKUP(3,AA44:AK47,5,FALSE)</f>
        <v>0</v>
      </c>
      <c r="O47" s="26" t="str">
        <f>VLOOKUP(3,AA44:AK47,6,FALSE) &amp; " - " &amp; VLOOKUP(3,AA44:AK47,7,FALSE)</f>
        <v>0 - 0</v>
      </c>
      <c r="P47" s="71">
        <f>L47*3+M47</f>
        <v>0</v>
      </c>
      <c r="R47" s="56">
        <f>DATE(2018,6,27)+TIME(7,0,0)+gmt_delta</f>
        <v>43278.958333333328</v>
      </c>
      <c r="S47" s="63" t="str">
        <f t="shared" si="2"/>
        <v/>
      </c>
      <c r="T47" s="63" t="str">
        <f t="shared" si="3"/>
        <v/>
      </c>
      <c r="U47" s="57">
        <f t="shared" si="4"/>
        <v>0</v>
      </c>
      <c r="V47" s="56">
        <f t="shared" si="5"/>
        <v>0</v>
      </c>
      <c r="W47" s="56">
        <f t="shared" si="6"/>
        <v>0</v>
      </c>
      <c r="X47" s="56">
        <f t="shared" si="7"/>
        <v>0</v>
      </c>
      <c r="Y47" s="56" t="str">
        <f t="shared" si="9"/>
        <v/>
      </c>
      <c r="AA47" s="56">
        <f>COUNTIF(AN44:AN47,CONCATENATE("&gt;=",AN47))</f>
        <v>2</v>
      </c>
      <c r="AB47" s="57" t="str">
        <f>VLOOKUP("England",T,lang,FALSE)</f>
        <v>Angliya</v>
      </c>
      <c r="AC47" s="56">
        <f>COUNTIF($S$7:$T$54,"=" &amp; AB47 &amp; "_win")</f>
        <v>0</v>
      </c>
      <c r="AD47" s="56">
        <f>COUNTIF($S$7:$T$54,"=" &amp; AB47 &amp; "_draw")</f>
        <v>0</v>
      </c>
      <c r="AE47" s="56">
        <f>COUNTIF($S$7:$T$54,"=" &amp; AB47 &amp; "_lose")</f>
        <v>0</v>
      </c>
      <c r="AF47" s="56">
        <f>SUMIF($E$7:$E$54,$AB47,$F$7:$F$54) + SUMIF($H$7:$H$54,$AB47,$G$7:$G$54)</f>
        <v>0</v>
      </c>
      <c r="AG47" s="56">
        <f>SUMIF($E$7:$E$54,$AB47,$G$7:$G$54) + SUMIF($H$7:$H$54,$AB47,$F$7:$F$54)</f>
        <v>0</v>
      </c>
      <c r="AH47" s="56">
        <f>(AF47-AG47)*100+AK47*10000+AF47</f>
        <v>0</v>
      </c>
      <c r="AI47" s="56">
        <f>AF47-AG47</f>
        <v>0</v>
      </c>
      <c r="AJ47" s="56">
        <f>(AI47-AI49)/AI48</f>
        <v>0</v>
      </c>
      <c r="AK47" s="56">
        <f>AC47*3+AD47</f>
        <v>0</v>
      </c>
      <c r="AL47" s="56">
        <f>AP47/AP48*1000+AQ47/AQ48*100+AT47/AT48*10+AR47/AR48</f>
        <v>0</v>
      </c>
      <c r="AM47" s="56">
        <f>VLOOKUP(AB47,db_fifarank,2,FALSE)/2000000</f>
        <v>5.2349999999999999E-4</v>
      </c>
      <c r="AN47" s="57">
        <f>1000*AK47/AK48+100*AJ47+10*AF47/AF48+1*AL47/AL48+AM47</f>
        <v>5.2349999999999999E-4</v>
      </c>
      <c r="AP47" s="59">
        <f>SUMPRODUCT(($S$7:$S$54=AB47&amp;"_win")*($U$7:$U$54))+SUMPRODUCT(($T$7:$T$54=AB47&amp;"_win")*($U$7:$U$54))</f>
        <v>0</v>
      </c>
      <c r="AQ47" s="60">
        <f>SUMPRODUCT(($S$7:$S$54=AB47&amp;"_draw")*($U$7:$U$54))+SUMPRODUCT(($T$7:$T$54=AB47&amp;"_draw")*($U$7:$U$54))</f>
        <v>0</v>
      </c>
      <c r="AR47" s="60">
        <f>SUMPRODUCT(($E$7:$E$54=AB47)*($U$7:$U$54)*($F$7:$F$54))+SUMPRODUCT(($H$7:$H$54=AB47)*($U$7:$U$54)*($G$7:$G$54))</f>
        <v>0</v>
      </c>
      <c r="AS47" s="60">
        <f>SUMPRODUCT(($E$7:$E$54=AB47)*($U$7:$U$54)*($G$7:$G$54))+SUMPRODUCT(($H$7:$H$54=AB47)*($U$7:$U$54)*($F$7:$F$54))</f>
        <v>0</v>
      </c>
      <c r="AT47" s="60">
        <f>AR47-AS47</f>
        <v>0</v>
      </c>
      <c r="AY47" s="192"/>
      <c r="AZ47" s="193"/>
      <c r="BA47" s="193"/>
      <c r="BB47" s="194"/>
    </row>
    <row r="48" spans="1:72" ht="15" customHeight="1" x14ac:dyDescent="0.25">
      <c r="A48" s="18">
        <v>42</v>
      </c>
      <c r="B48" s="19" t="str">
        <f t="shared" si="0"/>
        <v>Chor</v>
      </c>
      <c r="C48" s="20" t="str">
        <f t="shared" si="1"/>
        <v>Iyun 27, 2018</v>
      </c>
      <c r="D48" s="21">
        <f t="shared" si="8"/>
        <v>0.95833333333333337</v>
      </c>
      <c r="E48" s="22" t="str">
        <f>AB33</f>
        <v>Shveysariya</v>
      </c>
      <c r="F48" s="23"/>
      <c r="G48" s="24"/>
      <c r="H48" s="65" t="str">
        <f>AB34</f>
        <v>Kosta-Rika</v>
      </c>
      <c r="J48" s="72" t="str">
        <f>VLOOKUP(4,AA44:AK47,2,FALSE)</f>
        <v>Panama</v>
      </c>
      <c r="K48" s="73">
        <f>L48+M48+N48</f>
        <v>0</v>
      </c>
      <c r="L48" s="73">
        <f>VLOOKUP(4,AA44:AK47,3,FALSE)</f>
        <v>0</v>
      </c>
      <c r="M48" s="73">
        <f>VLOOKUP(4,AA44:AK47,4,FALSE)</f>
        <v>0</v>
      </c>
      <c r="N48" s="73">
        <f>VLOOKUP(4,AA44:AK47,5,FALSE)</f>
        <v>0</v>
      </c>
      <c r="O48" s="73" t="str">
        <f>VLOOKUP(4,AA44:AK47,6,FALSE) &amp; " - " &amp; VLOOKUP(4,AA44:AK47,7,FALSE)</f>
        <v>0 - 0</v>
      </c>
      <c r="P48" s="74">
        <f>L48*3+M48</f>
        <v>0</v>
      </c>
      <c r="R48" s="56">
        <f>DATE(2018,6,27)+TIME(7,0,0)+gmt_delta</f>
        <v>43278.958333333328</v>
      </c>
      <c r="S48" s="63" t="str">
        <f t="shared" si="2"/>
        <v/>
      </c>
      <c r="T48" s="63" t="str">
        <f t="shared" si="3"/>
        <v/>
      </c>
      <c r="U48" s="57">
        <f t="shared" si="4"/>
        <v>0</v>
      </c>
      <c r="V48" s="56">
        <f t="shared" si="5"/>
        <v>0</v>
      </c>
      <c r="W48" s="56">
        <f t="shared" si="6"/>
        <v>0</v>
      </c>
      <c r="X48" s="56">
        <f t="shared" si="7"/>
        <v>0</v>
      </c>
      <c r="Y48" s="56" t="str">
        <f t="shared" si="9"/>
        <v/>
      </c>
      <c r="AC48" s="56">
        <f t="shared" ref="AC48:AL48" si="16">MAX(AC44:AC47)-MIN(AC44:AC47)+1</f>
        <v>1</v>
      </c>
      <c r="AD48" s="56">
        <f t="shared" si="16"/>
        <v>1</v>
      </c>
      <c r="AE48" s="56">
        <f t="shared" si="16"/>
        <v>1</v>
      </c>
      <c r="AF48" s="56">
        <f t="shared" si="16"/>
        <v>1</v>
      </c>
      <c r="AG48" s="56">
        <f t="shared" si="16"/>
        <v>1</v>
      </c>
      <c r="AH48" s="56">
        <f>MAX(AH44:AH47)-AH49+1</f>
        <v>1</v>
      </c>
      <c r="AI48" s="56">
        <f>MAX(AI44:AI47)-AI49+1</f>
        <v>1</v>
      </c>
      <c r="AK48" s="56">
        <f t="shared" si="16"/>
        <v>1</v>
      </c>
      <c r="AL48" s="56">
        <f t="shared" si="16"/>
        <v>1</v>
      </c>
      <c r="AP48" s="56">
        <f>MAX(AP44:AP47)-MIN(AP44:AP47)+1</f>
        <v>1</v>
      </c>
      <c r="AQ48" s="56">
        <f>MAX(AQ44:AQ47)-MIN(AQ44:AQ47)+1</f>
        <v>1</v>
      </c>
      <c r="AR48" s="56">
        <f>MAX(AR44:AR47)-MIN(AR44:AR47)+1</f>
        <v>1</v>
      </c>
      <c r="AS48" s="56">
        <f>MAX(AS44:AS47)-MIN(AS44:AS47)+1</f>
        <v>1</v>
      </c>
      <c r="AT48" s="56">
        <f>MAX(AT44:AT47)-MIN(AT44:AT47)+1</f>
        <v>1</v>
      </c>
      <c r="AY48" s="192"/>
      <c r="AZ48" s="193"/>
      <c r="BA48" s="193"/>
      <c r="BB48" s="194"/>
    </row>
    <row r="49" spans="1:54" ht="15" customHeight="1" x14ac:dyDescent="0.25">
      <c r="A49" s="18">
        <v>43</v>
      </c>
      <c r="B49" s="19" t="str">
        <f t="shared" si="0"/>
        <v>Chor</v>
      </c>
      <c r="C49" s="20" t="str">
        <f t="shared" si="1"/>
        <v>Iyun 27, 2018</v>
      </c>
      <c r="D49" s="21">
        <f t="shared" si="8"/>
        <v>0.79166666666666663</v>
      </c>
      <c r="E49" s="22" t="str">
        <f>AB41</f>
        <v>Janubiy Koreya</v>
      </c>
      <c r="F49" s="23"/>
      <c r="G49" s="24"/>
      <c r="H49" s="65" t="str">
        <f>AB38</f>
        <v>Germaniya</v>
      </c>
      <c r="R49" s="56">
        <f>DATE(2018,6,27)+TIME(3,0,0)+gmt_delta</f>
        <v>43278.791666666664</v>
      </c>
      <c r="S49" s="63" t="str">
        <f t="shared" si="2"/>
        <v/>
      </c>
      <c r="T49" s="63" t="str">
        <f t="shared" si="3"/>
        <v/>
      </c>
      <c r="U49" s="57">
        <f t="shared" si="4"/>
        <v>0</v>
      </c>
      <c r="V49" s="56">
        <f t="shared" si="5"/>
        <v>0</v>
      </c>
      <c r="W49" s="56">
        <f t="shared" si="6"/>
        <v>0</v>
      </c>
      <c r="X49" s="56">
        <f t="shared" si="7"/>
        <v>0</v>
      </c>
      <c r="Y49" s="56" t="str">
        <f t="shared" si="9"/>
        <v/>
      </c>
      <c r="AH49" s="56">
        <f>MIN(AH44:AH47)</f>
        <v>0</v>
      </c>
      <c r="AI49" s="56">
        <f>MIN(AI44:AI47)</f>
        <v>0</v>
      </c>
      <c r="AY49" s="192"/>
      <c r="AZ49" s="193"/>
      <c r="BA49" s="193"/>
      <c r="BB49" s="194"/>
    </row>
    <row r="50" spans="1:54" ht="15" customHeight="1" x14ac:dyDescent="0.25">
      <c r="A50" s="18">
        <v>44</v>
      </c>
      <c r="B50" s="19" t="str">
        <f t="shared" si="0"/>
        <v>Chor</v>
      </c>
      <c r="C50" s="20" t="str">
        <f t="shared" si="1"/>
        <v>Iyun 27, 2018</v>
      </c>
      <c r="D50" s="21">
        <f t="shared" si="8"/>
        <v>0.79166666666666663</v>
      </c>
      <c r="E50" s="22" t="str">
        <f>AB39</f>
        <v>Meksika</v>
      </c>
      <c r="F50" s="23"/>
      <c r="G50" s="24"/>
      <c r="H50" s="65" t="str">
        <f>AB40</f>
        <v>Shvetsiya</v>
      </c>
      <c r="J50" s="75" t="str">
        <f>INDEX(T,9,lang) &amp; " " &amp; "H"</f>
        <v>Guruh H</v>
      </c>
      <c r="K50" s="76" t="str">
        <f>INDEX(T,10,lang)</f>
        <v>O'</v>
      </c>
      <c r="L50" s="76" t="str">
        <f>INDEX(T,11,lang)</f>
        <v>Yu</v>
      </c>
      <c r="M50" s="76" t="str">
        <f>INDEX(T,12,lang)</f>
        <v>D</v>
      </c>
      <c r="N50" s="76" t="str">
        <f>INDEX(T,13,lang)</f>
        <v>M</v>
      </c>
      <c r="O50" s="76" t="str">
        <f>INDEX(T,14,lang)</f>
        <v>UrGol-O'tGol</v>
      </c>
      <c r="P50" s="77" t="str">
        <f>INDEX(T,15,lang)</f>
        <v>Ochko</v>
      </c>
      <c r="R50" s="56">
        <f>DATE(2018,6,27)+TIME(3,0,0)+gmt_delta</f>
        <v>43278.791666666664</v>
      </c>
      <c r="S50" s="63" t="str">
        <f t="shared" si="2"/>
        <v/>
      </c>
      <c r="T50" s="63" t="str">
        <f t="shared" si="3"/>
        <v/>
      </c>
      <c r="U50" s="57">
        <f t="shared" si="4"/>
        <v>0</v>
      </c>
      <c r="V50" s="56">
        <f t="shared" si="5"/>
        <v>0</v>
      </c>
      <c r="W50" s="56">
        <f t="shared" si="6"/>
        <v>0</v>
      </c>
      <c r="X50" s="56">
        <f t="shared" si="7"/>
        <v>0</v>
      </c>
      <c r="Y50" s="56" t="str">
        <f t="shared" si="9"/>
        <v/>
      </c>
      <c r="AA50" s="56">
        <f>COUNTIF(AN50:AN53,CONCATENATE("&gt;=",AN50))</f>
        <v>1</v>
      </c>
      <c r="AB50" s="57" t="str">
        <f>VLOOKUP("Poland",T,lang,FALSE)</f>
        <v>Polsha</v>
      </c>
      <c r="AC50" s="56">
        <f>COUNTIF($S$7:$T$54,"=" &amp; AB50 &amp; "_win")</f>
        <v>0</v>
      </c>
      <c r="AD50" s="56">
        <f>COUNTIF($S$7:$T$54,"=" &amp; AB50 &amp; "_draw")</f>
        <v>0</v>
      </c>
      <c r="AE50" s="56">
        <f>COUNTIF($S$7:$T$54,"=" &amp; AB50 &amp; "_lose")</f>
        <v>0</v>
      </c>
      <c r="AF50" s="56">
        <f>SUMIF($E$7:$E$54,$AB50,$F$7:$F$54) + SUMIF($H$7:$H$54,$AB50,$G$7:$G$54)</f>
        <v>0</v>
      </c>
      <c r="AG50" s="56">
        <f>SUMIF($E$7:$E$54,$AB50,$G$7:$G$54) + SUMIF($H$7:$H$54,$AB50,$F$7:$F$54)</f>
        <v>0</v>
      </c>
      <c r="AH50" s="56">
        <f>(AF50-AG50)*100+AK50*10000+AF50</f>
        <v>0</v>
      </c>
      <c r="AI50" s="56">
        <f>AF50-AG50</f>
        <v>0</v>
      </c>
      <c r="AJ50" s="56">
        <f>(AI50-AI55)/AI54</f>
        <v>0</v>
      </c>
      <c r="AK50" s="56">
        <f>AC50*3+AD50</f>
        <v>0</v>
      </c>
      <c r="AL50" s="56">
        <f>AP50/AP54*1000+AQ50/AQ54*100+AT50/AT54*10+AR50/AR54</f>
        <v>0</v>
      </c>
      <c r="AM50" s="56">
        <f>VLOOKUP(AB50,db_fifarank,2,FALSE)/2000000</f>
        <v>6.045E-4</v>
      </c>
      <c r="AN50" s="57">
        <f>1000*AK50/AK54+100*AJ50+10*AF50/AF54+1*AL50/AL54+AM50</f>
        <v>6.045E-4</v>
      </c>
      <c r="AO50" s="58" t="str">
        <f>IF(SUM(AC50:AE53)=12,J51,INDEX(T,84,lang))</f>
        <v>1H</v>
      </c>
      <c r="AP50" s="59">
        <f>SUMPRODUCT(($S$7:$S$54=AB50&amp;"_win")*($U$7:$U$54))+SUMPRODUCT(($T$7:$T$54=AB50&amp;"_win")*($U$7:$U$54))</f>
        <v>0</v>
      </c>
      <c r="AQ50" s="60">
        <f>SUMPRODUCT(($S$7:$S$54=AB50&amp;"_draw")*($U$7:$U$54))+SUMPRODUCT(($T$7:$T$54=AB50&amp;"_draw")*($U$7:$U$54))</f>
        <v>0</v>
      </c>
      <c r="AR50" s="60">
        <f>SUMPRODUCT(($E$7:$E$54=AB50)*($U$7:$U$54)*($F$7:$F$54))+SUMPRODUCT(($H$7:$H$54=AB50)*($U$7:$U$54)*($G$7:$G$54))</f>
        <v>0</v>
      </c>
      <c r="AS50" s="60">
        <f>SUMPRODUCT(($E$7:$E$54=AB50)*($U$7:$U$54)*($G$7:$G$54))+SUMPRODUCT(($H$7:$H$54=AB50)*($U$7:$U$54)*($F$7:$F$54))</f>
        <v>0</v>
      </c>
      <c r="AT50" s="60">
        <f>AR50-AS50</f>
        <v>0</v>
      </c>
      <c r="AY50" s="192"/>
      <c r="AZ50" s="193"/>
      <c r="BA50" s="193"/>
      <c r="BB50" s="194"/>
    </row>
    <row r="51" spans="1:54" ht="15" customHeight="1" x14ac:dyDescent="0.25">
      <c r="A51" s="18">
        <v>45</v>
      </c>
      <c r="B51" s="19" t="str">
        <f t="shared" si="0"/>
        <v>Pay</v>
      </c>
      <c r="C51" s="20" t="str">
        <f t="shared" si="1"/>
        <v>Iyun 28, 2018</v>
      </c>
      <c r="D51" s="21">
        <f t="shared" si="8"/>
        <v>0.95833333333333337</v>
      </c>
      <c r="E51" s="22" t="str">
        <f>AB47</f>
        <v>Angliya</v>
      </c>
      <c r="F51" s="23"/>
      <c r="G51" s="24"/>
      <c r="H51" s="65" t="str">
        <f>AB44</f>
        <v>Belgiya</v>
      </c>
      <c r="J51" s="67" t="str">
        <f>VLOOKUP(1,AA50:AK53,2,FALSE)</f>
        <v>Polsha</v>
      </c>
      <c r="K51" s="68">
        <f>L51+M51+N51</f>
        <v>0</v>
      </c>
      <c r="L51" s="68">
        <f>VLOOKUP(1,AA50:AK53,3,FALSE)</f>
        <v>0</v>
      </c>
      <c r="M51" s="68">
        <f>VLOOKUP(1,AA50:AK53,4,FALSE)</f>
        <v>0</v>
      </c>
      <c r="N51" s="68">
        <f>VLOOKUP(1,AA50:AK53,5,FALSE)</f>
        <v>0</v>
      </c>
      <c r="O51" s="68" t="str">
        <f>VLOOKUP(1,AA50:AK53,6,FALSE) &amp; " - " &amp; VLOOKUP(1,AA50:AK53,7,FALSE)</f>
        <v>0 - 0</v>
      </c>
      <c r="P51" s="69">
        <f>L51*3+M51</f>
        <v>0</v>
      </c>
      <c r="R51" s="56">
        <f>DATE(2018,6,28)+TIME(7,0,0)+gmt_delta</f>
        <v>43279.958333333328</v>
      </c>
      <c r="S51" s="63" t="str">
        <f t="shared" si="2"/>
        <v/>
      </c>
      <c r="T51" s="63" t="str">
        <f t="shared" si="3"/>
        <v/>
      </c>
      <c r="U51" s="57">
        <f t="shared" si="4"/>
        <v>0</v>
      </c>
      <c r="V51" s="56">
        <f t="shared" si="5"/>
        <v>0</v>
      </c>
      <c r="W51" s="56">
        <f t="shared" si="6"/>
        <v>0</v>
      </c>
      <c r="X51" s="56">
        <f t="shared" si="7"/>
        <v>0</v>
      </c>
      <c r="Y51" s="56" t="str">
        <f t="shared" si="9"/>
        <v/>
      </c>
      <c r="AA51" s="56">
        <f>COUNTIF(AN50:AN53,CONCATENATE("&gt;=",AN51))</f>
        <v>3</v>
      </c>
      <c r="AB51" s="57" t="str">
        <f>VLOOKUP("Senegal",T,lang,FALSE)</f>
        <v>Senegal</v>
      </c>
      <c r="AC51" s="56">
        <f>COUNTIF($S$7:$T$54,"=" &amp; AB51 &amp; "_win")</f>
        <v>0</v>
      </c>
      <c r="AD51" s="56">
        <f>COUNTIF($S$7:$T$54,"=" &amp; AB51 &amp; "_draw")</f>
        <v>0</v>
      </c>
      <c r="AE51" s="56">
        <f>COUNTIF($S$7:$T$54,"=" &amp; AB51 &amp; "_lose")</f>
        <v>0</v>
      </c>
      <c r="AF51" s="56">
        <f>SUMIF($E$7:$E$54,$AB51,$F$7:$F$54) + SUMIF($H$7:$H$54,$AB51,$G$7:$G$54)</f>
        <v>0</v>
      </c>
      <c r="AG51" s="56">
        <f>SUMIF($E$7:$E$54,$AB51,$G$7:$G$54) + SUMIF($H$7:$H$54,$AB51,$F$7:$F$54)</f>
        <v>0</v>
      </c>
      <c r="AH51" s="56">
        <f>(AF51-AG51)*100+AK51*10000+AF51</f>
        <v>0</v>
      </c>
      <c r="AI51" s="56">
        <f>AF51-AG51</f>
        <v>0</v>
      </c>
      <c r="AJ51" s="56">
        <f>(AI51-AI55)/AI54</f>
        <v>0</v>
      </c>
      <c r="AK51" s="56">
        <f>AC51*3+AD51</f>
        <v>0</v>
      </c>
      <c r="AL51" s="56">
        <f>AP51/AP54*1000+AQ51/AQ54*100+AT51/AT54*10+AR51/AR54</f>
        <v>0</v>
      </c>
      <c r="AM51" s="56">
        <f>VLOOKUP(AB51,db_fifarank,2,FALSE)/2000000</f>
        <v>4.4200000000000001E-4</v>
      </c>
      <c r="AN51" s="57">
        <f>1000*AK51/AK54+100*AJ51+10*AF51/AF54+1*AL51/AL54+AM51</f>
        <v>4.4200000000000001E-4</v>
      </c>
      <c r="AO51" s="58" t="str">
        <f>IF(SUM(AC50:AE53)=12,J52,INDEX(T,85,lang))</f>
        <v>2H</v>
      </c>
      <c r="AP51" s="59">
        <f>SUMPRODUCT(($S$7:$S$54=AB51&amp;"_win")*($U$7:$U$54))+SUMPRODUCT(($T$7:$T$54=AB51&amp;"_win")*($U$7:$U$54))</f>
        <v>0</v>
      </c>
      <c r="AQ51" s="60">
        <f>SUMPRODUCT(($S$7:$S$54=AB51&amp;"_draw")*($U$7:$U$54))+SUMPRODUCT(($T$7:$T$54=AB51&amp;"_draw")*($U$7:$U$54))</f>
        <v>0</v>
      </c>
      <c r="AR51" s="60">
        <f>SUMPRODUCT(($E$7:$E$54=AB51)*($U$7:$U$54)*($F$7:$F$54))+SUMPRODUCT(($H$7:$H$54=AB51)*($U$7:$U$54)*($G$7:$G$54))</f>
        <v>0</v>
      </c>
      <c r="AS51" s="60">
        <f>SUMPRODUCT(($E$7:$E$54=AB51)*($U$7:$U$54)*($G$7:$G$54))+SUMPRODUCT(($H$7:$H$54=AB51)*($U$7:$U$54)*($F$7:$F$54))</f>
        <v>0</v>
      </c>
      <c r="AT51" s="60">
        <f>AR51-AS51</f>
        <v>0</v>
      </c>
      <c r="AY51" s="192"/>
      <c r="AZ51" s="193"/>
      <c r="BA51" s="193"/>
      <c r="BB51" s="194"/>
    </row>
    <row r="52" spans="1:54" ht="15" customHeight="1" x14ac:dyDescent="0.25">
      <c r="A52" s="18">
        <v>46</v>
      </c>
      <c r="B52" s="19" t="str">
        <f t="shared" si="0"/>
        <v>Pay</v>
      </c>
      <c r="C52" s="20" t="str">
        <f t="shared" si="1"/>
        <v>Iyun 28, 2018</v>
      </c>
      <c r="D52" s="21">
        <f t="shared" si="8"/>
        <v>0.95833333333333337</v>
      </c>
      <c r="E52" s="22" t="str">
        <f>AB45</f>
        <v>Panama</v>
      </c>
      <c r="F52" s="23"/>
      <c r="G52" s="24"/>
      <c r="H52" s="65" t="str">
        <f>AB46</f>
        <v>Tunis</v>
      </c>
      <c r="J52" s="70" t="str">
        <f>VLOOKUP(2,AA50:AK53,2,FALSE)</f>
        <v>Kolumbiya</v>
      </c>
      <c r="K52" s="26">
        <f>L52+M52+N52</f>
        <v>0</v>
      </c>
      <c r="L52" s="26">
        <f>VLOOKUP(2,AA50:AK53,3,FALSE)</f>
        <v>0</v>
      </c>
      <c r="M52" s="26">
        <f>VLOOKUP(2,AA50:AK53,4,FALSE)</f>
        <v>0</v>
      </c>
      <c r="N52" s="26">
        <f>VLOOKUP(2,AA50:AK53,5,FALSE)</f>
        <v>0</v>
      </c>
      <c r="O52" s="26" t="str">
        <f>VLOOKUP(2,AA50:AK53,6,FALSE) &amp; " - " &amp; VLOOKUP(2,AA50:AK53,7,FALSE)</f>
        <v>0 - 0</v>
      </c>
      <c r="P52" s="71">
        <f>L52*3+M52</f>
        <v>0</v>
      </c>
      <c r="R52" s="56">
        <f>DATE(2018,6,28)+TIME(7,0,0)+gmt_delta</f>
        <v>43279.958333333328</v>
      </c>
      <c r="S52" s="63" t="str">
        <f t="shared" si="2"/>
        <v/>
      </c>
      <c r="T52" s="63" t="str">
        <f t="shared" si="3"/>
        <v/>
      </c>
      <c r="U52" s="57">
        <f t="shared" si="4"/>
        <v>0</v>
      </c>
      <c r="V52" s="56">
        <f t="shared" si="5"/>
        <v>0</v>
      </c>
      <c r="W52" s="56">
        <f t="shared" si="6"/>
        <v>0</v>
      </c>
      <c r="X52" s="56">
        <f t="shared" si="7"/>
        <v>0</v>
      </c>
      <c r="Y52" s="56" t="str">
        <f t="shared" si="9"/>
        <v/>
      </c>
      <c r="AA52" s="56">
        <f>COUNTIF(AN50:AN53,CONCATENATE("&gt;=",AN52))</f>
        <v>2</v>
      </c>
      <c r="AB52" s="57" t="str">
        <f>VLOOKUP("Colombia",T,lang,FALSE)</f>
        <v>Kolumbiya</v>
      </c>
      <c r="AC52" s="56">
        <f>COUNTIF($S$7:$T$54,"=" &amp; AB52 &amp; "_win")</f>
        <v>0</v>
      </c>
      <c r="AD52" s="56">
        <f>COUNTIF($S$7:$T$54,"=" &amp; AB52 &amp; "_draw")</f>
        <v>0</v>
      </c>
      <c r="AE52" s="56">
        <f>COUNTIF($S$7:$T$54,"=" &amp; AB52 &amp; "_lose")</f>
        <v>0</v>
      </c>
      <c r="AF52" s="56">
        <f>SUMIF($E$7:$E$54,$AB52,$F$7:$F$54) + SUMIF($H$7:$H$54,$AB52,$G$7:$G$54)</f>
        <v>0</v>
      </c>
      <c r="AG52" s="56">
        <f>SUMIF($E$7:$E$54,$AB52,$G$7:$G$54) + SUMIF($H$7:$H$54,$AB52,$F$7:$F$54)</f>
        <v>0</v>
      </c>
      <c r="AH52" s="56">
        <f>(AF52-AG52)*100+AK52*10000+AF52</f>
        <v>0</v>
      </c>
      <c r="AI52" s="56">
        <f>AF52-AG52</f>
        <v>0</v>
      </c>
      <c r="AJ52" s="56">
        <f>(AI52-AI55)/AI54</f>
        <v>0</v>
      </c>
      <c r="AK52" s="56">
        <f>AC52*3+AD52</f>
        <v>0</v>
      </c>
      <c r="AL52" s="56">
        <f>AP52/AP54*1000+AQ52/AQ54*100+AT52/AT54*10+AR52/AR54</f>
        <v>0</v>
      </c>
      <c r="AM52" s="56">
        <f>VLOOKUP(AB52,db_fifarank,2,FALSE)/2000000</f>
        <v>5.3899999999999998E-4</v>
      </c>
      <c r="AN52" s="57">
        <f>1000*AK52/AK54+100*AJ52+10*AF52/AF54+1*AL52/AL54+AM52</f>
        <v>5.3899999999999998E-4</v>
      </c>
      <c r="AP52" s="59">
        <f>SUMPRODUCT(($S$7:$S$54=AB52&amp;"_win")*($U$7:$U$54))+SUMPRODUCT(($T$7:$T$54=AB52&amp;"_win")*($U$7:$U$54))</f>
        <v>0</v>
      </c>
      <c r="AQ52" s="60">
        <f>SUMPRODUCT(($S$7:$S$54=AB52&amp;"_draw")*($U$7:$U$54))+SUMPRODUCT(($T$7:$T$54=AB52&amp;"_draw")*($U$7:$U$54))</f>
        <v>0</v>
      </c>
      <c r="AR52" s="60">
        <f>SUMPRODUCT(($E$7:$E$54=AB52)*($U$7:$U$54)*($F$7:$F$54))+SUMPRODUCT(($H$7:$H$54=AB52)*($U$7:$U$54)*($G$7:$G$54))</f>
        <v>0</v>
      </c>
      <c r="AS52" s="60">
        <f>SUMPRODUCT(($E$7:$E$54=AB52)*($U$7:$U$54)*($G$7:$G$54))+SUMPRODUCT(($H$7:$H$54=AB52)*($U$7:$U$54)*($F$7:$F$54))</f>
        <v>0</v>
      </c>
      <c r="AT52" s="60">
        <f>AR52-AS52</f>
        <v>0</v>
      </c>
      <c r="AY52" s="195"/>
      <c r="AZ52" s="196"/>
      <c r="BA52" s="196"/>
      <c r="BB52" s="197"/>
    </row>
    <row r="53" spans="1:54" ht="15" customHeight="1" x14ac:dyDescent="0.25">
      <c r="A53" s="18">
        <v>47</v>
      </c>
      <c r="B53" s="19" t="str">
        <f t="shared" si="0"/>
        <v>Pay</v>
      </c>
      <c r="C53" s="20" t="str">
        <f t="shared" si="1"/>
        <v>Iyun 28, 2018</v>
      </c>
      <c r="D53" s="21">
        <f t="shared" si="8"/>
        <v>0.79166666666666663</v>
      </c>
      <c r="E53" s="22" t="str">
        <f>AB53</f>
        <v>Yaponiya</v>
      </c>
      <c r="F53" s="23"/>
      <c r="G53" s="24"/>
      <c r="H53" s="65" t="str">
        <f>AB50</f>
        <v>Polsha</v>
      </c>
      <c r="J53" s="70" t="str">
        <f>VLOOKUP(3,AA50:AK53,2,FALSE)</f>
        <v>Senegal</v>
      </c>
      <c r="K53" s="26">
        <f>L53+M53+N53</f>
        <v>0</v>
      </c>
      <c r="L53" s="26">
        <f>VLOOKUP(3,AA50:AK53,3,FALSE)</f>
        <v>0</v>
      </c>
      <c r="M53" s="26">
        <f>VLOOKUP(3,AA50:AK53,4,FALSE)</f>
        <v>0</v>
      </c>
      <c r="N53" s="26">
        <f>VLOOKUP(3,AA50:AK53,5,FALSE)</f>
        <v>0</v>
      </c>
      <c r="O53" s="26" t="str">
        <f>VLOOKUP(3,AA50:AK53,6,FALSE) &amp; " - " &amp; VLOOKUP(3,AA50:AK53,7,FALSE)</f>
        <v>0 - 0</v>
      </c>
      <c r="P53" s="71">
        <f>L53*3+M53</f>
        <v>0</v>
      </c>
      <c r="R53" s="56">
        <f>DATE(2018,6,28)+TIME(3,0,0)+gmt_delta</f>
        <v>43279.791666666664</v>
      </c>
      <c r="S53" s="63" t="str">
        <f t="shared" si="2"/>
        <v/>
      </c>
      <c r="T53" s="63" t="str">
        <f t="shared" si="3"/>
        <v/>
      </c>
      <c r="U53" s="57">
        <f t="shared" si="4"/>
        <v>0</v>
      </c>
      <c r="V53" s="56">
        <f t="shared" si="5"/>
        <v>0</v>
      </c>
      <c r="W53" s="56">
        <f t="shared" si="6"/>
        <v>0</v>
      </c>
      <c r="X53" s="56">
        <f t="shared" si="7"/>
        <v>0</v>
      </c>
      <c r="Y53" s="56" t="str">
        <f t="shared" si="9"/>
        <v/>
      </c>
      <c r="AA53" s="56">
        <f>COUNTIF(AN50:AN53,CONCATENATE("&gt;=",AN53))</f>
        <v>4</v>
      </c>
      <c r="AB53" s="57" t="str">
        <f>VLOOKUP("Japan",T,lang,FALSE)</f>
        <v>Yaponiya</v>
      </c>
      <c r="AC53" s="56">
        <f>COUNTIF($S$7:$T$54,"=" &amp; AB53 &amp; "_win")</f>
        <v>0</v>
      </c>
      <c r="AD53" s="56">
        <f>COUNTIF($S$7:$T$54,"=" &amp; AB53 &amp; "_draw")</f>
        <v>0</v>
      </c>
      <c r="AE53" s="56">
        <f>COUNTIF($S$7:$T$54,"=" &amp; AB53 &amp; "_lose")</f>
        <v>0</v>
      </c>
      <c r="AF53" s="56">
        <f>SUMIF($E$7:$E$54,$AB53,$F$7:$F$54) + SUMIF($H$7:$H$54,$AB53,$G$7:$G$54)</f>
        <v>0</v>
      </c>
      <c r="AG53" s="56">
        <f>SUMIF($E$7:$E$54,$AB53,$G$7:$G$54) + SUMIF($H$7:$H$54,$AB53,$F$7:$F$54)</f>
        <v>0</v>
      </c>
      <c r="AH53" s="56">
        <f>(AF53-AG53)*100+AK53*10000+AF53</f>
        <v>0</v>
      </c>
      <c r="AI53" s="56">
        <f>AF53-AG53</f>
        <v>0</v>
      </c>
      <c r="AJ53" s="56">
        <f>(AI53-AI55)/AI54</f>
        <v>0</v>
      </c>
      <c r="AK53" s="56">
        <f>AC53*3+AD53</f>
        <v>0</v>
      </c>
      <c r="AL53" s="56">
        <f>AP53/AP54*1000+AQ53/AQ54*100+AT53/AT54*10+AR53/AR54</f>
        <v>0</v>
      </c>
      <c r="AM53" s="56">
        <f>VLOOKUP(AB53,db_fifarank,2,FALSE)/2000000</f>
        <v>2.9999999999999997E-4</v>
      </c>
      <c r="AN53" s="57">
        <f>1000*AK53/AK54+100*AJ53+10*AF53/AF54+1*AL53/AL54+AM53</f>
        <v>2.9999999999999997E-4</v>
      </c>
      <c r="AP53" s="59">
        <f>SUMPRODUCT(($S$7:$S$54=AB53&amp;"_win")*($U$7:$U$54))+SUMPRODUCT(($T$7:$T$54=AB53&amp;"_win")*($U$7:$U$54))</f>
        <v>0</v>
      </c>
      <c r="AQ53" s="60">
        <f>SUMPRODUCT(($S$7:$S$54=AB53&amp;"_draw")*($U$7:$U$54))+SUMPRODUCT(($T$7:$T$54=AB53&amp;"_draw")*($U$7:$U$54))</f>
        <v>0</v>
      </c>
      <c r="AR53" s="60">
        <f>SUMPRODUCT(($E$7:$E$54=AB53)*($U$7:$U$54)*($F$7:$F$54))+SUMPRODUCT(($H$7:$H$54=AB53)*($U$7:$U$54)*($G$7:$G$54))</f>
        <v>0</v>
      </c>
      <c r="AS53" s="60">
        <f>SUMPRODUCT(($E$7:$E$54=AB53)*($U$7:$U$54)*($G$7:$G$54))+SUMPRODUCT(($H$7:$H$54=AB53)*($U$7:$U$54)*($F$7:$F$54))</f>
        <v>0</v>
      </c>
      <c r="AT53" s="60">
        <f>AR53-AS53</f>
        <v>0</v>
      </c>
    </row>
    <row r="54" spans="1:54" ht="15" customHeight="1" x14ac:dyDescent="0.25">
      <c r="A54" s="42">
        <v>48</v>
      </c>
      <c r="B54" s="43" t="str">
        <f t="shared" si="0"/>
        <v>Pay</v>
      </c>
      <c r="C54" s="44" t="str">
        <f t="shared" si="1"/>
        <v>Iyun 28, 2018</v>
      </c>
      <c r="D54" s="45">
        <f t="shared" si="8"/>
        <v>0.79166666666666663</v>
      </c>
      <c r="E54" s="46" t="str">
        <f>AB51</f>
        <v>Senegal</v>
      </c>
      <c r="F54" s="31"/>
      <c r="G54" s="32"/>
      <c r="H54" s="66" t="str">
        <f>AB52</f>
        <v>Kolumbiya</v>
      </c>
      <c r="J54" s="72" t="str">
        <f>VLOOKUP(4,AA50:AK53,2,FALSE)</f>
        <v>Yaponiya</v>
      </c>
      <c r="K54" s="73">
        <f>L54+M54+N54</f>
        <v>0</v>
      </c>
      <c r="L54" s="73">
        <f>VLOOKUP(4,AA50:AK53,3,FALSE)</f>
        <v>0</v>
      </c>
      <c r="M54" s="73">
        <f>VLOOKUP(4,AA50:AK53,4,FALSE)</f>
        <v>0</v>
      </c>
      <c r="N54" s="73">
        <f>VLOOKUP(4,AA50:AK53,5,FALSE)</f>
        <v>0</v>
      </c>
      <c r="O54" s="73" t="str">
        <f>VLOOKUP(4,AA50:AK53,6,FALSE) &amp; " - " &amp; VLOOKUP(4,AA50:AK53,7,FALSE)</f>
        <v>0 - 0</v>
      </c>
      <c r="P54" s="74">
        <f>L54*3+M54</f>
        <v>0</v>
      </c>
      <c r="R54" s="56">
        <f>DATE(2018,6,28)+TIME(3,0,0)+gmt_delta</f>
        <v>43279.791666666664</v>
      </c>
      <c r="S54" s="63" t="str">
        <f t="shared" si="2"/>
        <v/>
      </c>
      <c r="T54" s="63" t="str">
        <f t="shared" si="3"/>
        <v/>
      </c>
      <c r="U54" s="57">
        <f t="shared" si="4"/>
        <v>0</v>
      </c>
      <c r="V54" s="56">
        <f t="shared" si="5"/>
        <v>0</v>
      </c>
      <c r="W54" s="56">
        <f t="shared" si="6"/>
        <v>0</v>
      </c>
      <c r="X54" s="56">
        <f t="shared" si="7"/>
        <v>0</v>
      </c>
      <c r="Y54" s="56" t="str">
        <f t="shared" si="9"/>
        <v/>
      </c>
      <c r="AC54" s="56">
        <f t="shared" ref="AC54:AL54" si="17">MAX(AC50:AC53)-MIN(AC50:AC53)+1</f>
        <v>1</v>
      </c>
      <c r="AD54" s="56">
        <f t="shared" si="17"/>
        <v>1</v>
      </c>
      <c r="AE54" s="56">
        <f t="shared" si="17"/>
        <v>1</v>
      </c>
      <c r="AF54" s="56">
        <f t="shared" si="17"/>
        <v>1</v>
      </c>
      <c r="AG54" s="56">
        <f t="shared" si="17"/>
        <v>1</v>
      </c>
      <c r="AH54" s="56">
        <f>MAX(AH50:AH53)-AH55+1</f>
        <v>1</v>
      </c>
      <c r="AI54" s="56">
        <f>MAX(AI50:AI53)-AI55+1</f>
        <v>1</v>
      </c>
      <c r="AK54" s="56">
        <f t="shared" si="17"/>
        <v>1</v>
      </c>
      <c r="AL54" s="56">
        <f t="shared" si="17"/>
        <v>1</v>
      </c>
      <c r="AP54" s="56">
        <f>MAX(AP50:AP53)-MIN(AP50:AP53)+1</f>
        <v>1</v>
      </c>
      <c r="AQ54" s="56">
        <f>MAX(AQ50:AQ53)-MIN(AQ50:AQ53)+1</f>
        <v>1</v>
      </c>
      <c r="AR54" s="56">
        <f>MAX(AR50:AR53)-MIN(AR50:AR53)+1</f>
        <v>1</v>
      </c>
      <c r="AS54" s="56">
        <f>MAX(AS50:AS53)-MIN(AS50:AS53)+1</f>
        <v>1</v>
      </c>
      <c r="AT54" s="56">
        <f>MAX(AT50:AT53)-MIN(AT50:AT53)+1</f>
        <v>1</v>
      </c>
    </row>
    <row r="55" spans="1:54" x14ac:dyDescent="0.25">
      <c r="A55" s="47"/>
      <c r="B55" s="48"/>
      <c r="C55" s="47"/>
      <c r="D55" s="49"/>
      <c r="E55" s="50"/>
      <c r="F55" s="51"/>
      <c r="G55" s="51"/>
      <c r="H55" s="52"/>
      <c r="I55" s="53"/>
      <c r="J55" s="54"/>
      <c r="K55" s="47"/>
      <c r="L55" s="47"/>
      <c r="M55" s="47"/>
      <c r="N55" s="47"/>
      <c r="O55" s="47"/>
      <c r="P55" s="47"/>
      <c r="AH55" s="56">
        <f>MIN(AH50:AH53)</f>
        <v>0</v>
      </c>
      <c r="AI55" s="56">
        <f>MIN(AI50:AI53)</f>
        <v>0</v>
      </c>
    </row>
    <row r="56" spans="1:54" ht="12.75" customHeight="1" x14ac:dyDescent="0.25"/>
    <row r="57" spans="1:54" ht="12.75" customHeight="1" x14ac:dyDescent="0.25"/>
    <row r="58" spans="1:54" x14ac:dyDescent="0.25">
      <c r="R58" s="56">
        <f>DATE(2018,6,30)+TIME(7,0,0)+gmt_delta</f>
        <v>43281.958333333328</v>
      </c>
      <c r="S58" s="63" t="str">
        <f>IF(OR(BA10="",BA11=""),"",IF(BA10&gt;BA11,AZ10,IF(BA10&lt;BA11,AZ11,IF(OR(BB10="",BB11=""),"draw",IF(BB10&gt;BB11,AZ10,IF(BB10&lt;BB11,AZ11,"draw"))))))</f>
        <v/>
      </c>
      <c r="T58" s="63" t="str">
        <f>IF(OR(S58="",S58="draw"),INDEX(T,86,lang),S58)</f>
        <v>W49</v>
      </c>
    </row>
    <row r="59" spans="1:54" ht="12.75" customHeight="1" x14ac:dyDescent="0.25">
      <c r="R59" s="56">
        <f>DATE(2018,6,30)+TIME(3,0,0)+gmt_delta</f>
        <v>43281.791666666664</v>
      </c>
      <c r="S59" s="63" t="str">
        <f>IF(OR(BA14="",BA15=""),"",IF(BA14&gt;BA15,AZ14,IF(BA14&lt;BA15,AZ15,IF(OR(BB14="",BB15=""),"draw",IF(BB14&gt;BB15,AZ14,IF(BB14&lt;BB15,AZ15,"draw"))))))</f>
        <v/>
      </c>
      <c r="T59" s="63" t="str">
        <f>IF(OR(S59="",S59="draw"),INDEX(T,87,lang),S59)</f>
        <v>W50</v>
      </c>
    </row>
    <row r="60" spans="1:54" ht="12.75" customHeight="1" x14ac:dyDescent="0.25">
      <c r="R60" s="56">
        <f>DATE(2018,7,1)+TIME(3,0,0)+gmt_delta</f>
        <v>43282.791666666664</v>
      </c>
      <c r="S60" s="63" t="str">
        <f>IF(OR(BA26="",BA27=""),"",IF(BA26&gt;BA27,AZ26,IF(BA26&lt;BA27,AZ27,IF(OR(BB26="",BB27=""),"draw",IF(BB26&gt;BB27,AZ26,IF(BB26&lt;BB27,AZ27,"draw"))))))</f>
        <v/>
      </c>
      <c r="T60" s="63" t="str">
        <f>IF(OR(S60="",S60="draw"),INDEX(T,88,lang),S60)</f>
        <v>W51</v>
      </c>
    </row>
    <row r="61" spans="1:54" ht="12.75" customHeight="1" x14ac:dyDescent="0.25">
      <c r="R61" s="56">
        <f>DATE(2018,7,1)+TIME(7,0,0)+gmt_delta</f>
        <v>43282.958333333328</v>
      </c>
      <c r="S61" s="63" t="str">
        <f>IF(OR(BA30="",BA31=""),"",IF(BA30&gt;BA31,AZ30,IF(BA30&lt;BA31,AZ31,IF(OR(BB30="",BB31=""),"draw",IF(BB30&gt;BB31,AZ30,IF(BB30&lt;BB31,AZ31,"draw"))))))</f>
        <v/>
      </c>
      <c r="T61" s="63" t="str">
        <f>IF(OR(S61="",S61="draw"),INDEX(T,89,lang),S61)</f>
        <v>W52</v>
      </c>
    </row>
    <row r="62" spans="1:54" ht="12.75" customHeight="1" x14ac:dyDescent="0.25">
      <c r="R62" s="56">
        <f>DATE(2018,7,2)+TIME(3,0,0)+gmt_delta</f>
        <v>43283.791666666664</v>
      </c>
      <c r="S62" s="63" t="str">
        <f>IF(OR(BA18="",BA19=""),"",IF(BA18&gt;BA19,AZ18,IF(BA18&lt;BA19,AZ19,IF(OR(BB18="",BB19=""),"draw",IF(BB18&gt;BB19,AZ18,IF(BB18&lt;BB19,AZ19,"draw"))))))</f>
        <v/>
      </c>
      <c r="T62" s="63" t="str">
        <f>IF(OR(S62="",S62="draw"),INDEX(T,90,lang),S62)</f>
        <v>W53</v>
      </c>
    </row>
    <row r="63" spans="1:54" ht="12.75" customHeight="1" x14ac:dyDescent="0.25">
      <c r="R63" s="56">
        <f>DATE(2018,7,2)+TIME(7,0,0)+gmt_delta</f>
        <v>43283.958333333328</v>
      </c>
      <c r="S63" s="63" t="str">
        <f>IF(OR(BA22="",BA23=""),"",IF(BA22&gt;BA23,AZ22,IF(BA22&lt;BA23,AZ23,IF(OR(BB22="",BB23=""),"draw",IF(BB22&gt;BB23,AZ22,IF(BB22&lt;BB23,AZ23,"draw"))))))</f>
        <v/>
      </c>
      <c r="T63" s="63" t="str">
        <f>IF(OR(S63="",S63="draw"),INDEX(T,91,lang),S63)</f>
        <v>W54</v>
      </c>
    </row>
    <row r="64" spans="1:54" ht="12.75" customHeight="1" x14ac:dyDescent="0.25">
      <c r="R64" s="56">
        <f>DATE(2018,7,3)+TIME(3,0,0)+gmt_delta</f>
        <v>43284.791666666664</v>
      </c>
      <c r="S64" s="63" t="str">
        <f>IF(OR(BA34="",BA35=""),"",IF(BA34&gt;BA35,AZ34,IF(BA34&lt;BA35,AZ35,IF(OR(BB34="",BB35=""),"draw",IF(BB34&gt;BB35,AZ34,IF(BB34&lt;BB35,AZ35,"draw"))))))</f>
        <v/>
      </c>
      <c r="T64" s="63" t="str">
        <f>IF(OR(S64="",S64="draw"),INDEX(T,92,lang),S64)</f>
        <v>W55</v>
      </c>
    </row>
    <row r="65" spans="18:26" ht="12.75" customHeight="1" x14ac:dyDescent="0.25">
      <c r="R65" s="56">
        <f>DATE(2018,7,3)+TIME(7,0,0)+gmt_delta</f>
        <v>43284.958333333328</v>
      </c>
      <c r="S65" s="63" t="str">
        <f>IF(OR(BA38="",BA39=""),"",IF(BA38&gt;BA39,AZ38,IF(BA38&lt;BA39,AZ39,IF(OR(BB38="",BB39=""),"draw",IF(BB38&gt;BB39,AZ38,IF(BB38&lt;BB39,AZ39,"draw"))))))</f>
        <v/>
      </c>
      <c r="T65" s="63" t="str">
        <f>IF(OR(S65="",S65="draw"),INDEX(T,93,lang),S65)</f>
        <v>W56</v>
      </c>
    </row>
    <row r="66" spans="18:26" ht="12.75" customHeight="1" x14ac:dyDescent="0.25"/>
    <row r="67" spans="18:26" ht="12.75" customHeight="1" x14ac:dyDescent="0.25"/>
    <row r="68" spans="18:26" ht="12.75" customHeight="1" x14ac:dyDescent="0.25"/>
    <row r="69" spans="18:26" ht="12.75" customHeight="1" x14ac:dyDescent="0.25">
      <c r="R69" s="56">
        <f>DATE(2018,7,6)+TIME(3,0,0)+gmt_delta</f>
        <v>43287.791666666664</v>
      </c>
      <c r="S69" s="63" t="str">
        <f>IF(OR(BG12="",BG13=""),"",IF(BG12&gt;BG13,BF12,IF(BG12&lt;BG13,BF13,IF(OR(BH12="",BH13=""),"draw",IF(BH12&gt;BH13,BF12,IF(BH12&lt;BH13,BF13,"draw"))))))</f>
        <v/>
      </c>
      <c r="T69" s="63" t="str">
        <f>IF(OR(S69="",S69="draw"),INDEX(T,94,lang),S69)</f>
        <v>W57</v>
      </c>
    </row>
    <row r="70" spans="18:26" ht="12.75" customHeight="1" x14ac:dyDescent="0.25">
      <c r="R70" s="56">
        <f>DATE(2018,7,6)+TIME(7,0,0)+gmt_delta</f>
        <v>43287.958333333328</v>
      </c>
      <c r="S70" s="63" t="str">
        <f>IF(OR(BG20="",BG21=""),"",IF(BG20&gt;BG21,BF20,IF(BG20&lt;BG21,BF21,IF(OR(BH20="",BH21=""),"draw",IF(BH20&gt;BH21,BF20,IF(BH20&lt;BH21,BF21,"draw"))))))</f>
        <v/>
      </c>
      <c r="T70" s="63" t="str">
        <f>IF(OR(S70="",S70="draw"),INDEX(T,95,lang),S70)</f>
        <v>W58</v>
      </c>
    </row>
    <row r="71" spans="18:26" ht="12.75" customHeight="1" x14ac:dyDescent="0.25">
      <c r="R71" s="56">
        <f>DATE(2018,7,7)+TIME(3,0,0)+gmt_delta</f>
        <v>43288.791666666664</v>
      </c>
      <c r="S71" s="63" t="str">
        <f>IF(OR(BG28="",BG29=""),"",IF(BG28&gt;BG29,BF28,IF(BG28&lt;BG29,BF29,IF(OR(BH28="",BH29=""),"draw",IF(BH28&gt;BH29,BF28,IF(BH28&lt;BH29,BF29,"draw"))))))</f>
        <v/>
      </c>
      <c r="T71" s="63" t="str">
        <f>IF(OR(S71="",S71="draw"),INDEX(T,96,lang),S71)</f>
        <v>W59</v>
      </c>
    </row>
    <row r="72" spans="18:26" ht="12.75" customHeight="1" x14ac:dyDescent="0.25">
      <c r="R72" s="56">
        <f>DATE(2018,7,7)+TIME(7,0,0)+gmt_delta</f>
        <v>43288.958333333328</v>
      </c>
      <c r="S72" s="63" t="str">
        <f>IF(OR(BG36="",BG37=""),"",IF(BG36&gt;BG37,BF36,IF(BG36&lt;BG37,BF37,IF(OR(BH36="",BH37=""),"draw",IF(BH36&gt;BH37,BF36,IF(BH36&lt;BH37,BF37,"draw"))))))</f>
        <v/>
      </c>
      <c r="T72" s="63" t="str">
        <f>IF(OR(S72="",S72="draw"),INDEX(T,97,lang),S72)</f>
        <v>W60</v>
      </c>
    </row>
    <row r="73" spans="18:26" ht="12.75" customHeight="1" x14ac:dyDescent="0.25"/>
    <row r="74" spans="18:26" ht="12.75" customHeight="1" x14ac:dyDescent="0.25"/>
    <row r="75" spans="18:26" ht="12.75" customHeight="1" x14ac:dyDescent="0.25"/>
    <row r="76" spans="18:26" ht="12.75" customHeight="1" x14ac:dyDescent="0.25">
      <c r="R76" s="56">
        <f>DATE(2018,7,10)+TIME(7,0,0)+gmt_delta</f>
        <v>43291.958333333328</v>
      </c>
      <c r="S76" s="63" t="str">
        <f>IF(OR(BM16="",BM17=""),"",IF(BM16&gt;BM17,BL16,IF(BM16&lt;BM17,BL17,IF(OR(BN16="",BN17=""),"draw",IF(BN16&gt;BN17,BL16,IF(BN16&lt;BN17,BL17,"draw"))))))</f>
        <v/>
      </c>
      <c r="T76" s="63" t="str">
        <f>IF(OR(S76="",S76="draw"),INDEX(T,98,lang),S76)</f>
        <v>W61</v>
      </c>
      <c r="U76" s="63" t="str">
        <f>IF(OR(BM16="",BM17=""),"",IF(BM16&lt;BM17,BL16,IF(BM16&gt;BM17,BL17,IF(OR(BN16="",BN17=""),"draw",IF(BN16&lt;BN17,BL16,IF(BN16&gt;BN17,BL17,"draw"))))))</f>
        <v/>
      </c>
      <c r="Z76" s="63" t="str">
        <f>IF(OR(U76="",U76="draw"),INDEX(T,100,lang),U76)</f>
        <v>L61</v>
      </c>
    </row>
    <row r="77" spans="18:26" ht="12.75" customHeight="1" x14ac:dyDescent="0.25">
      <c r="R77" s="56">
        <f>DATE(2018,7,11)+TIME(7,0,0)+gmt_delta</f>
        <v>43292.958333333328</v>
      </c>
      <c r="S77" s="63" t="str">
        <f>IF(OR(BM32="",BM33=""),"",IF(BM32&gt;BM33,BL32,IF(BM32&lt;BM33,BL33,IF(OR(BN32="",BN33=""),"draw",IF(BN32&gt;BN33,BL32,IF(BN32&lt;BN33,BL33,"draw"))))))</f>
        <v/>
      </c>
      <c r="T77" s="63" t="str">
        <f>IF(OR(S77="",S77="draw"),INDEX(T,99,lang),S77)</f>
        <v>W62</v>
      </c>
      <c r="U77" s="63" t="str">
        <f>IF(OR(BM32="",BM33=""),"",IF(BM32&lt;BM33,BL32,IF(BM32&gt;BM33,BL33,IF(OR(BN32="",BN33=""),"draw",IF(BN32&lt;BN33,BL32,IF(BN32&gt;BN33,BL33,"draw"))))))</f>
        <v/>
      </c>
      <c r="Z77" s="63" t="str">
        <f>IF(OR(U77="",U77="draw"),INDEX(T,101,lang),U77)</f>
        <v>L62</v>
      </c>
    </row>
    <row r="79" spans="18:26" ht="12.75" customHeight="1" x14ac:dyDescent="0.25"/>
    <row r="80" spans="18:26" ht="12.75" customHeight="1" x14ac:dyDescent="0.25"/>
    <row r="81" spans="18:20" x14ac:dyDescent="0.25">
      <c r="R81" s="56">
        <f>DATE(2018,7,14)+TIME(3,0,0)+gmt_delta</f>
        <v>43295.791666666664</v>
      </c>
      <c r="T81" s="63" t="str">
        <f>IF(OR(BS35="",BS36=""),"",IF(BS35&gt;BS36,BR35,IF(BS35&lt;BS36,BR36,IF(OR(BT35="",BT36=""),"",IF(BT35&gt;BT36,BR35,IF(BT35&lt;BT36,BR36,""))))))</f>
        <v/>
      </c>
    </row>
    <row r="83" spans="18:20" ht="12.75" customHeight="1" x14ac:dyDescent="0.25"/>
    <row r="84" spans="18:20" ht="12.75" customHeight="1" x14ac:dyDescent="0.25"/>
    <row r="85" spans="18:20" x14ac:dyDescent="0.25">
      <c r="R85" s="56">
        <f>DATE(2018,7,15)+TIME(4,0,0)+gmt_delta</f>
        <v>43296.833333333328</v>
      </c>
      <c r="S85" s="63" t="str">
        <f>IF(OR(BS23="",BS24=""),"",IF(BS23&gt;BS24,BR23,IF(BS23&lt;BS24,BR24,IF(OR(BT23="",BT24=""),"",IF(BT23&gt;BT24,BR23,IF(BT23&lt;BT24,BR24,""))))))</f>
        <v/>
      </c>
      <c r="T85" s="63" t="str">
        <f>S85</f>
        <v/>
      </c>
    </row>
    <row r="87" spans="18:20" ht="12.75" customHeight="1" x14ac:dyDescent="0.25"/>
    <row r="88" spans="18:20" ht="12.75" customHeight="1" x14ac:dyDescent="0.25"/>
    <row r="96" spans="18:20" ht="12.75" customHeight="1" x14ac:dyDescent="0.25"/>
    <row r="97" ht="12.75" customHeight="1" x14ac:dyDescent="0.25"/>
  </sheetData>
  <sheetProtection algorithmName="SHA-512" hashValue="znIuei5IiBIgqgXt7jPSDQSHkunZyVuZfYglwNk5FKHlWGwlv+RSFnstPKojVcaUES4WEczq/Uayqb+ZgRxNag==" saltValue="8rt4tvEmVwem+dw1rWfh+w==" spinCount="100000" sheet="1" objects="1" scenarios="1"/>
  <mergeCells count="49">
    <mergeCell ref="AY46:BB52"/>
    <mergeCell ref="AY38:AY39"/>
    <mergeCell ref="BJ41:BN42"/>
    <mergeCell ref="AY34:AY35"/>
    <mergeCell ref="BQ35:BQ36"/>
    <mergeCell ref="BE36:BE37"/>
    <mergeCell ref="BO41:BT42"/>
    <mergeCell ref="BS34:BT34"/>
    <mergeCell ref="AY43:BB44"/>
    <mergeCell ref="BA37:BB37"/>
    <mergeCell ref="BG35:BH35"/>
    <mergeCell ref="AY30:AY31"/>
    <mergeCell ref="BQ31:BT32"/>
    <mergeCell ref="BK32:BK33"/>
    <mergeCell ref="AY26:AY27"/>
    <mergeCell ref="BE28:BE29"/>
    <mergeCell ref="BM31:BN31"/>
    <mergeCell ref="BA29:BB29"/>
    <mergeCell ref="BA33:BB33"/>
    <mergeCell ref="BG27:BH27"/>
    <mergeCell ref="A1:P1"/>
    <mergeCell ref="O3:P3"/>
    <mergeCell ref="A5:H6"/>
    <mergeCell ref="AY10:AY11"/>
    <mergeCell ref="BE12:BE13"/>
    <mergeCell ref="AY6:BB7"/>
    <mergeCell ref="BE6:BH7"/>
    <mergeCell ref="BA9:BB9"/>
    <mergeCell ref="BA13:BB13"/>
    <mergeCell ref="BG11:BH11"/>
    <mergeCell ref="K3:N3"/>
    <mergeCell ref="J7:P7"/>
    <mergeCell ref="J5:P6"/>
    <mergeCell ref="BA1:BT3"/>
    <mergeCell ref="BA4:BT5"/>
    <mergeCell ref="BS22:BT22"/>
    <mergeCell ref="BA25:BB25"/>
    <mergeCell ref="BQ6:BT7"/>
    <mergeCell ref="BK6:BN7"/>
    <mergeCell ref="AY22:AY23"/>
    <mergeCell ref="BQ23:BQ24"/>
    <mergeCell ref="AY18:AY19"/>
    <mergeCell ref="AY14:AY15"/>
    <mergeCell ref="BM15:BN15"/>
    <mergeCell ref="BE20:BE21"/>
    <mergeCell ref="BK16:BK17"/>
    <mergeCell ref="BA17:BB17"/>
    <mergeCell ref="BA21:BB21"/>
    <mergeCell ref="BG19:BH19"/>
  </mergeCells>
  <conditionalFormatting sqref="F7:F55">
    <cfRule type="expression" dxfId="111" priority="16" stopIfTrue="1">
      <formula>IF(AND($F7&gt;$G7,ISNUMBER($F7),ISNUMBER($G7)),1,0)</formula>
    </cfRule>
  </conditionalFormatting>
  <conditionalFormatting sqref="G7:G55">
    <cfRule type="expression" dxfId="110" priority="17" stopIfTrue="1">
      <formula>IF(AND($F7&lt;$G7,ISNUMBER($F7),ISNUMBER($G7)),1,0)</formula>
    </cfRule>
  </conditionalFormatting>
  <conditionalFormatting sqref="J15:P15 J9:P9 J45:P45 J21:P21 J27:P27 J33:P33 J39:P39 J51:P51">
    <cfRule type="expression" dxfId="109" priority="18" stopIfTrue="1">
      <formula>IF(SUM($K9:$K12)=12,1,0)</formula>
    </cfRule>
  </conditionalFormatting>
  <conditionalFormatting sqref="J16:P16 J10:P10 J46:P46 J22:P22 J28:P28 J34:P34 J40:P40 J52:P52">
    <cfRule type="expression" dxfId="108" priority="19" stopIfTrue="1">
      <formula>IF(SUM($K9:$K12)=12,1,0)</formula>
    </cfRule>
  </conditionalFormatting>
  <conditionalFormatting sqref="J18:P18 J12:P12 J48:P48 J24:P24 J30:P30 J36:P36 J42:P42 J54:P55">
    <cfRule type="expression" dxfId="107" priority="20" stopIfTrue="1">
      <formula>IF(SUM($K9:$K12)=12,1,0)</formula>
    </cfRule>
  </conditionalFormatting>
  <conditionalFormatting sqref="J11:P11 J17:P17 J23:P23 J29:P29 J35:P35 J41:P41 J47:P47 J53:P53">
    <cfRule type="expression" dxfId="106" priority="21" stopIfTrue="1">
      <formula>IF(SUM($K9:$K12)=12,1,0)</formula>
    </cfRule>
  </conditionalFormatting>
  <conditionalFormatting sqref="BA10 BA14 BA34 BA38 BA26 BA30 BA18 BA22">
    <cfRule type="expression" dxfId="105" priority="28" stopIfTrue="1">
      <formula>IF(AND($BA10&gt;$BA11,ISNUMBER($BA10),ISNUMBER($BA11)),1,0)</formula>
    </cfRule>
  </conditionalFormatting>
  <conditionalFormatting sqref="BA11 BA15 BA35 BA39 BA27 BA31 BA19 BA23">
    <cfRule type="expression" dxfId="104" priority="29" stopIfTrue="1">
      <formula>IF(AND($BA10&lt;$BA11,ISNUMBER($BA10),ISNUMBER($BA11)),1,0)</formula>
    </cfRule>
  </conditionalFormatting>
  <conditionalFormatting sqref="BB10 BB14 BB34 BB38 BB26 BB30 BB18 BB22">
    <cfRule type="expression" dxfId="103" priority="30" stopIfTrue="1">
      <formula>IF(AND($BB10&gt;$BB11,ISNUMBER($BB10),ISNUMBER($BB11)),1,0)</formula>
    </cfRule>
  </conditionalFormatting>
  <conditionalFormatting sqref="BB11 BB15 BB35 BB39 BB27 BB31 BB19 BB23">
    <cfRule type="expression" dxfId="102" priority="31" stopIfTrue="1">
      <formula>IF(AND($BB10&lt;$BB11,ISNUMBER($BB10),ISNUMBER($BB11)),1,0)</formula>
    </cfRule>
  </conditionalFormatting>
  <conditionalFormatting sqref="BG12 BG20 BG28 BG36">
    <cfRule type="expression" dxfId="101" priority="32" stopIfTrue="1">
      <formula>IF(AND($BG12&gt;$BG13,ISNUMBER($BG12),ISNUMBER($BG13)),1,0)</formula>
    </cfRule>
  </conditionalFormatting>
  <conditionalFormatting sqref="BG13 BG21 BG29 BG37">
    <cfRule type="expression" dxfId="100" priority="33" stopIfTrue="1">
      <formula>IF(AND($BG12&lt;$BG13,ISNUMBER($BG12),ISNUMBER($BG13)),1,0)</formula>
    </cfRule>
  </conditionalFormatting>
  <conditionalFormatting sqref="BH12 BH20 BH28 BH36">
    <cfRule type="expression" dxfId="99" priority="34" stopIfTrue="1">
      <formula>IF(AND($BH12&gt;$BH13,ISNUMBER($BH12),ISNUMBER($BH13)),1,0)</formula>
    </cfRule>
  </conditionalFormatting>
  <conditionalFormatting sqref="BH13 BH21 BH29 BH37">
    <cfRule type="expression" dxfId="98" priority="35" stopIfTrue="1">
      <formula>IF(AND($BH12&lt;$BH13,ISNUMBER($BH12),ISNUMBER($BH13)),1,0)</formula>
    </cfRule>
  </conditionalFormatting>
  <conditionalFormatting sqref="BM16 BM32">
    <cfRule type="expression" dxfId="97" priority="36" stopIfTrue="1">
      <formula>IF(AND($BM16&gt;$BM17,ISNUMBER($BM16),ISNUMBER($BM17)),1,0)</formula>
    </cfRule>
  </conditionalFormatting>
  <conditionalFormatting sqref="BM17 BM33">
    <cfRule type="expression" dxfId="96" priority="37" stopIfTrue="1">
      <formula>IF(AND($BM16&lt;$BM17,ISNUMBER($BM16),ISNUMBER($BM17)),1,0)</formula>
    </cfRule>
  </conditionalFormatting>
  <conditionalFormatting sqref="BN16 BN32">
    <cfRule type="expression" dxfId="95" priority="38" stopIfTrue="1">
      <formula>IF(AND($BN16&gt;$BN17,ISNUMBER($BN16),ISNUMBER($BN17)),1,0)</formula>
    </cfRule>
  </conditionalFormatting>
  <conditionalFormatting sqref="BN17 BN33">
    <cfRule type="expression" dxfId="94" priority="39" stopIfTrue="1">
      <formula>IF(AND($BN16&lt;$BN17,ISNUMBER($BN16),ISNUMBER($BN17)),1,0)</formula>
    </cfRule>
  </conditionalFormatting>
  <conditionalFormatting sqref="BS23 BS35">
    <cfRule type="expression" dxfId="93" priority="40" stopIfTrue="1">
      <formula>IF(AND($BS23&gt;$BS24,ISNUMBER($BS23),ISNUMBER($BS24)),1,0)</formula>
    </cfRule>
  </conditionalFormatting>
  <conditionalFormatting sqref="BS24 BS36">
    <cfRule type="expression" dxfId="92" priority="41" stopIfTrue="1">
      <formula>IF(AND($BS23&lt;$BS24,ISNUMBER($BS23),ISNUMBER($BS24)),1,0)</formula>
    </cfRule>
  </conditionalFormatting>
  <conditionalFormatting sqref="BT23 BT35">
    <cfRule type="expression" dxfId="91" priority="42" stopIfTrue="1">
      <formula>IF(AND($BT23&gt;$BT24,ISNUMBER($BT23),ISNUMBER($BT24)),1,0)</formula>
    </cfRule>
  </conditionalFormatting>
  <conditionalFormatting sqref="BT24 BT36">
    <cfRule type="expression" dxfId="90" priority="43" stopIfTrue="1">
      <formula>IF(AND($BT23&lt;$BT24,ISNUMBER($BT23),ISNUMBER($BT24)),1,0)</formula>
    </cfRule>
  </conditionalFormatting>
  <conditionalFormatting sqref="AZ10">
    <cfRule type="expression" dxfId="89" priority="44" stopIfTrue="1">
      <formula>IF($AZ10=$T58,1,0)</formula>
    </cfRule>
    <cfRule type="expression" dxfId="88" priority="45" stopIfTrue="1">
      <formula>IF($AZ11=$T58,1,0)</formula>
    </cfRule>
  </conditionalFormatting>
  <conditionalFormatting sqref="AZ11">
    <cfRule type="expression" dxfId="87" priority="46" stopIfTrue="1">
      <formula>IF($AZ11=$T58,1,0)</formula>
    </cfRule>
    <cfRule type="expression" dxfId="86" priority="47" stopIfTrue="1">
      <formula>IF($AZ10=$T58,1,0)</formula>
    </cfRule>
  </conditionalFormatting>
  <conditionalFormatting sqref="AZ14">
    <cfRule type="expression" dxfId="85" priority="48" stopIfTrue="1">
      <formula>IF($AZ14=$T59,1,0)</formula>
    </cfRule>
    <cfRule type="expression" dxfId="84" priority="49" stopIfTrue="1">
      <formula>IF($AZ15=$T59,1,0)</formula>
    </cfRule>
  </conditionalFormatting>
  <conditionalFormatting sqref="AZ15">
    <cfRule type="expression" dxfId="83" priority="50" stopIfTrue="1">
      <formula>IF($AZ15=$T59,1,0)</formula>
    </cfRule>
    <cfRule type="expression" dxfId="82" priority="51" stopIfTrue="1">
      <formula>IF($AZ14=$T59,1,0)</formula>
    </cfRule>
  </conditionalFormatting>
  <conditionalFormatting sqref="AZ34">
    <cfRule type="expression" dxfId="81" priority="52" stopIfTrue="1">
      <formula>IF($AZ34=$T64,1,0)</formula>
    </cfRule>
    <cfRule type="expression" dxfId="80" priority="53" stopIfTrue="1">
      <formula>IF($AZ35=$T64,1,0)</formula>
    </cfRule>
  </conditionalFormatting>
  <conditionalFormatting sqref="AZ35">
    <cfRule type="expression" dxfId="79" priority="54" stopIfTrue="1">
      <formula>IF($AZ35=$T64,1,0)</formula>
    </cfRule>
    <cfRule type="expression" dxfId="78" priority="55" stopIfTrue="1">
      <formula>IF($AZ34=$T64,1,0)</formula>
    </cfRule>
  </conditionalFormatting>
  <conditionalFormatting sqref="AZ38">
    <cfRule type="expression" dxfId="77" priority="56" stopIfTrue="1">
      <formula>IF($AZ38=$T65,1,0)</formula>
    </cfRule>
    <cfRule type="expression" dxfId="76" priority="57" stopIfTrue="1">
      <formula>IF($AZ39=$T65,1,0)</formula>
    </cfRule>
  </conditionalFormatting>
  <conditionalFormatting sqref="AZ39">
    <cfRule type="expression" dxfId="75" priority="58" stopIfTrue="1">
      <formula>IF($AZ39=$T65,1,0)</formula>
    </cfRule>
    <cfRule type="expression" dxfId="74" priority="59" stopIfTrue="1">
      <formula>IF($AZ38=$T65,1,0)</formula>
    </cfRule>
  </conditionalFormatting>
  <conditionalFormatting sqref="AZ26">
    <cfRule type="expression" dxfId="73" priority="60" stopIfTrue="1">
      <formula>IF($AZ26=$T60,1,0)</formula>
    </cfRule>
    <cfRule type="expression" dxfId="72" priority="61" stopIfTrue="1">
      <formula>IF($AZ27=$T60,1,0)</formula>
    </cfRule>
  </conditionalFormatting>
  <conditionalFormatting sqref="AZ27">
    <cfRule type="expression" dxfId="71" priority="62" stopIfTrue="1">
      <formula>IF($AZ27=$T60,1,0)</formula>
    </cfRule>
    <cfRule type="expression" dxfId="70" priority="63" stopIfTrue="1">
      <formula>IF($AZ26=$T60,1,0)</formula>
    </cfRule>
  </conditionalFormatting>
  <conditionalFormatting sqref="AZ30">
    <cfRule type="expression" dxfId="69" priority="64" stopIfTrue="1">
      <formula>IF($AZ30=$T61,1,0)</formula>
    </cfRule>
    <cfRule type="expression" dxfId="68" priority="65" stopIfTrue="1">
      <formula>IF($AZ31=$T61,1,0)</formula>
    </cfRule>
  </conditionalFormatting>
  <conditionalFormatting sqref="AZ31">
    <cfRule type="expression" dxfId="67" priority="66" stopIfTrue="1">
      <formula>IF($AZ31=$T61,1,0)</formula>
    </cfRule>
    <cfRule type="expression" dxfId="66" priority="67" stopIfTrue="1">
      <formula>IF($AZ30=$T61,1,0)</formula>
    </cfRule>
  </conditionalFormatting>
  <conditionalFormatting sqref="AZ18">
    <cfRule type="expression" dxfId="65" priority="68" stopIfTrue="1">
      <formula>IF($AZ18=$T62,1,0)</formula>
    </cfRule>
    <cfRule type="expression" dxfId="64" priority="69" stopIfTrue="1">
      <formula>IF($AZ19=$T62,1,0)</formula>
    </cfRule>
  </conditionalFormatting>
  <conditionalFormatting sqref="AZ19">
    <cfRule type="expression" dxfId="63" priority="70" stopIfTrue="1">
      <formula>IF($AZ19=$T62,1,0)</formula>
    </cfRule>
    <cfRule type="expression" dxfId="62" priority="71" stopIfTrue="1">
      <formula>IF($AZ18=$T62,1,0)</formula>
    </cfRule>
  </conditionalFormatting>
  <conditionalFormatting sqref="AZ22">
    <cfRule type="expression" dxfId="61" priority="72" stopIfTrue="1">
      <formula>IF($AZ22=$T63,1,0)</formula>
    </cfRule>
    <cfRule type="expression" dxfId="60" priority="73" stopIfTrue="1">
      <formula>IF($AZ23=$T63,1,0)</formula>
    </cfRule>
  </conditionalFormatting>
  <conditionalFormatting sqref="AZ23">
    <cfRule type="expression" dxfId="59" priority="74" stopIfTrue="1">
      <formula>IF($AZ23=$T63,1,0)</formula>
    </cfRule>
    <cfRule type="expression" dxfId="58" priority="75" stopIfTrue="1">
      <formula>IF($AZ22=$T63,1,0)</formula>
    </cfRule>
  </conditionalFormatting>
  <conditionalFormatting sqref="BF12">
    <cfRule type="expression" dxfId="57" priority="76" stopIfTrue="1">
      <formula>IF($BF12=$T69,1,0)</formula>
    </cfRule>
    <cfRule type="expression" dxfId="56" priority="77" stopIfTrue="1">
      <formula>IF($BF13=$T69,1,0)</formula>
    </cfRule>
  </conditionalFormatting>
  <conditionalFormatting sqref="BF13">
    <cfRule type="expression" dxfId="55" priority="78" stopIfTrue="1">
      <formula>IF($BF13=$T69,1,0)</formula>
    </cfRule>
    <cfRule type="expression" dxfId="54" priority="79" stopIfTrue="1">
      <formula>IF($BF12=$T69,1,0)</formula>
    </cfRule>
  </conditionalFormatting>
  <conditionalFormatting sqref="BF20">
    <cfRule type="expression" dxfId="53" priority="80" stopIfTrue="1">
      <formula>IF($BF20=$T70,1,0)</formula>
    </cfRule>
    <cfRule type="expression" dxfId="52" priority="81" stopIfTrue="1">
      <formula>IF($BF21=$T70,1,0)</formula>
    </cfRule>
  </conditionalFormatting>
  <conditionalFormatting sqref="BF21">
    <cfRule type="expression" dxfId="51" priority="82" stopIfTrue="1">
      <formula>IF($BF21=$T70,1,0)</formula>
    </cfRule>
    <cfRule type="expression" dxfId="50" priority="83" stopIfTrue="1">
      <formula>IF($BF20=$T70,1,0)</formula>
    </cfRule>
  </conditionalFormatting>
  <conditionalFormatting sqref="BF28">
    <cfRule type="expression" dxfId="49" priority="84" stopIfTrue="1">
      <formula>IF($BF28=$T71,1,0)</formula>
    </cfRule>
    <cfRule type="expression" dxfId="48" priority="85" stopIfTrue="1">
      <formula>IF($BF29=$T71,1,0)</formula>
    </cfRule>
  </conditionalFormatting>
  <conditionalFormatting sqref="BF29">
    <cfRule type="expression" dxfId="47" priority="86" stopIfTrue="1">
      <formula>IF($BF29=$T71,1,0)</formula>
    </cfRule>
    <cfRule type="expression" dxfId="46" priority="87" stopIfTrue="1">
      <formula>IF($BF28=$T71,1,0)</formula>
    </cfRule>
  </conditionalFormatting>
  <conditionalFormatting sqref="BF36">
    <cfRule type="expression" dxfId="45" priority="88" stopIfTrue="1">
      <formula>IF($BF36=$T72,1,0)</formula>
    </cfRule>
    <cfRule type="expression" dxfId="44" priority="89" stopIfTrue="1">
      <formula>IF($BF37=$T72,1,0)</formula>
    </cfRule>
  </conditionalFormatting>
  <conditionalFormatting sqref="BF37">
    <cfRule type="expression" dxfId="43" priority="90" stopIfTrue="1">
      <formula>IF($BF37=$T72,1,0)</formula>
    </cfRule>
    <cfRule type="expression" dxfId="42" priority="91" stopIfTrue="1">
      <formula>IF($BF36=$T72,1,0)</formula>
    </cfRule>
  </conditionalFormatting>
  <conditionalFormatting sqref="BL16">
    <cfRule type="expression" dxfId="41" priority="92" stopIfTrue="1">
      <formula>IF($BL16=$T76,1,0)</formula>
    </cfRule>
    <cfRule type="expression" dxfId="40" priority="93" stopIfTrue="1">
      <formula>IF($BL17=$T76,1,0)</formula>
    </cfRule>
  </conditionalFormatting>
  <conditionalFormatting sqref="BL17">
    <cfRule type="expression" dxfId="39" priority="94" stopIfTrue="1">
      <formula>IF($BL17=$T76,1,0)</formula>
    </cfRule>
    <cfRule type="expression" dxfId="38" priority="95" stopIfTrue="1">
      <formula>IF($BL16=$T76,1,0)</formula>
    </cfRule>
  </conditionalFormatting>
  <conditionalFormatting sqref="BL32">
    <cfRule type="expression" dxfId="37" priority="96" stopIfTrue="1">
      <formula>IF($BL32=$T77,1,0)</formula>
    </cfRule>
    <cfRule type="expression" dxfId="36" priority="97" stopIfTrue="1">
      <formula>IF($BL33=$T77,1,0)</formula>
    </cfRule>
  </conditionalFormatting>
  <conditionalFormatting sqref="BL33">
    <cfRule type="expression" dxfId="35" priority="98" stopIfTrue="1">
      <formula>IF($BL33=$T77,1,0)</formula>
    </cfRule>
    <cfRule type="expression" dxfId="34" priority="99" stopIfTrue="1">
      <formula>IF($BL32=$T77,1,0)</formula>
    </cfRule>
  </conditionalFormatting>
  <conditionalFormatting sqref="BR23">
    <cfRule type="expression" dxfId="33" priority="100" stopIfTrue="1">
      <formula>IF($BR23=$T85,1,0)</formula>
    </cfRule>
    <cfRule type="expression" dxfId="32" priority="101" stopIfTrue="1">
      <formula>IF($BR24=$T85,1,0)</formula>
    </cfRule>
  </conditionalFormatting>
  <conditionalFormatting sqref="BR24">
    <cfRule type="expression" dxfId="31" priority="102" stopIfTrue="1">
      <formula>IF($BR24=$T85,1,0)</formula>
    </cfRule>
    <cfRule type="expression" dxfId="30" priority="103" stopIfTrue="1">
      <formula>IF($BR23=$T85,1,0)</formula>
    </cfRule>
  </conditionalFormatting>
  <conditionalFormatting sqref="BR35">
    <cfRule type="expression" dxfId="29" priority="104" stopIfTrue="1">
      <formula>IF($BR35=$T81,1,0)</formula>
    </cfRule>
    <cfRule type="expression" dxfId="28" priority="105" stopIfTrue="1">
      <formula>IF($BR36=$T81,1,0)</formula>
    </cfRule>
  </conditionalFormatting>
  <conditionalFormatting sqref="BR36">
    <cfRule type="expression" dxfId="27" priority="106" stopIfTrue="1">
      <formula>IF($BR36=$T81,1,0)</formula>
    </cfRule>
    <cfRule type="expression" dxfId="26" priority="107" stopIfTrue="1">
      <formula>IF($BR35=$T81,1,0)</formula>
    </cfRule>
  </conditionalFormatting>
  <conditionalFormatting sqref="E7:E54">
    <cfRule type="expression" dxfId="25" priority="8">
      <formula>IF(AND(X7=0,Y7=-1),1,0)</formula>
    </cfRule>
    <cfRule type="expression" dxfId="24" priority="9">
      <formula>IF(AND(X7=1,Y7=-1),1,0)</formula>
    </cfRule>
    <cfRule type="expression" dxfId="23" priority="10">
      <formula>IF(AND(X7=0,Y7=1),1,0)</formula>
    </cfRule>
    <cfRule type="expression" dxfId="22" priority="11">
      <formula>IF(AND(X7=1,Y7=1),1,0)</formula>
    </cfRule>
    <cfRule type="expression" dxfId="21" priority="12">
      <formula>IF(AND(X7=0,Y7=0),1,0)</formula>
    </cfRule>
    <cfRule type="expression" dxfId="20" priority="13">
      <formula>IF(AND(X7=1,Y7=0),1,0)</formula>
    </cfRule>
  </conditionalFormatting>
  <conditionalFormatting sqref="H7:H54">
    <cfRule type="expression" dxfId="19" priority="2">
      <formula>IF(AND(X7=0,Y7=-1),1,0)</formula>
    </cfRule>
    <cfRule type="expression" dxfId="18" priority="3">
      <formula>IF(AND(X7=1,Y7=-1),1,0)</formula>
    </cfRule>
    <cfRule type="expression" dxfId="17" priority="4">
      <formula>IF(AND(X7=0,Y7=1),1,0)</formula>
    </cfRule>
    <cfRule type="expression" dxfId="16" priority="5">
      <formula>IF(AND(X7=1,Y7=1),1,0)</formula>
    </cfRule>
    <cfRule type="expression" dxfId="15" priority="6">
      <formula>IF(AND(X7=0,Y7=0),1,0)</formula>
    </cfRule>
    <cfRule type="expression" dxfId="14" priority="7">
      <formula>IF(AND(X7=1,Y7=0),1,0)</formula>
    </cfRule>
    <cfRule type="expression" dxfId="13" priority="14">
      <formula>IF(AND(X7=1,Y7=""),1,0)</formula>
    </cfRule>
  </conditionalFormatting>
  <conditionalFormatting sqref="A7:E54">
    <cfRule type="expression" dxfId="12" priority="1">
      <formula>IF($X7=1,1,0)</formula>
    </cfRule>
  </conditionalFormatting>
  <dataValidations disablePrompts="1" count="2">
    <dataValidation type="list" allowBlank="1" showInputMessage="1" showErrorMessage="1" sqref="BB10:BB11 BB14:BB15 BB26:BB27 BB30:BB31 BB18:BB19 BB22:BB23 BB34:BB35 BB38:BB39 BH12:BH13 BH20:BH21 BH28:BH29 BH36:BH37 BN16:BN17 BN32:BN33 BT23:BT24 BT35:BT36">
      <formula1>"0,1,2,3,4,5,6,7,8,9,10,11,12,13,14,15,16,17,18,19,20"</formula1>
    </dataValidation>
    <dataValidation type="list" allowBlank="1" showInputMessage="1" showErrorMessage="1" sqref="F7:G55 BA26:BA27 BA10:BA11 BA14:BA15 BA30:BA31 BA18:BA19 BA22:BA23 BA34:BA35 BA38:BA39 BG12:BG13 BG20:BG21 BG28:BG29 BG36:BG37 BM16:BM17 BM32:BM33 BS23:BS24 BS35:BS36">
      <formula1>"0,1,2,3,4,5,6,7,8,9"</formula1>
    </dataValidation>
  </dataValidations>
  <hyperlinks>
    <hyperlink ref="O3" location="Settings!C4" tooltip="Settings" display="Settings!C4"/>
    <hyperlink ref="K3" location="Settings!C12" display="Settings!C12"/>
    <hyperlink ref="AY46:BB52" location="Statistics!A1" tooltip="FIFA World Cup Historical Data 1930 - 2014" display="Statistics!A1"/>
    <hyperlink ref="J5:P7" r:id="rId1" display="@xushnudbek"/>
    <hyperlink ref="BA1:BT5" r:id="rId2" display="@FutbolTVHD"/>
  </hyperlinks>
  <printOptions horizontalCentered="1" verticalCentered="1"/>
  <pageMargins left="0.25" right="0.25" top="0.75" bottom="0.75" header="0.3" footer="0.3"/>
  <pageSetup paperSize="9" scale="52" orientation="landscape" r:id="rId3"/>
  <headerFooter differentOddEven="1">
    <oddFooter>&amp;L@xushnudbek - Xushnudbek Xudayberdiyevning Telegram kanali&amp;Cwww.excely.com (c) 2018</oddFooter>
  </headerFooter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1"/>
  <sheetViews>
    <sheetView showGridLines="0" zoomScaleNormal="100" workbookViewId="0">
      <selection activeCell="F8" sqref="F8"/>
    </sheetView>
  </sheetViews>
  <sheetFormatPr defaultRowHeight="11.25" x14ac:dyDescent="0.25"/>
  <cols>
    <col min="1" max="1" width="1.42578125" style="119" customWidth="1"/>
    <col min="2" max="2" width="20.28515625" style="119" customWidth="1"/>
    <col min="3" max="4" width="3.42578125" style="121" customWidth="1"/>
    <col min="5" max="5" width="20.28515625" style="119" customWidth="1"/>
    <col min="6" max="6" width="8.5703125" style="119" bestFit="1" customWidth="1"/>
    <col min="7" max="7" width="7.5703125" style="119" customWidth="1"/>
    <col min="8" max="8" width="5.42578125" style="119" customWidth="1"/>
    <col min="9" max="9" width="1.42578125" style="119" customWidth="1"/>
    <col min="10" max="10" width="20.28515625" style="119" customWidth="1"/>
    <col min="11" max="12" width="3.42578125" style="121" customWidth="1"/>
    <col min="13" max="13" width="20.28515625" style="119" customWidth="1"/>
    <col min="14" max="14" width="8.5703125" style="134" customWidth="1"/>
    <col min="15" max="15" width="7.5703125" style="119" customWidth="1"/>
    <col min="16" max="16" width="5.42578125" style="119" customWidth="1"/>
    <col min="17" max="17" width="1.42578125" style="119" customWidth="1"/>
    <col min="18" max="18" width="15" style="119" customWidth="1"/>
    <col min="19" max="20" width="3.42578125" style="121" customWidth="1"/>
    <col min="21" max="21" width="15" style="119" customWidth="1"/>
    <col min="22" max="22" width="10" style="134" customWidth="1"/>
    <col min="23" max="24" width="6.85546875" style="119" customWidth="1"/>
    <col min="25" max="25" width="1.42578125" style="119" customWidth="1"/>
    <col min="26" max="16384" width="9.140625" style="119"/>
  </cols>
  <sheetData>
    <row r="1" spans="2:17" ht="54.75" customHeight="1" x14ac:dyDescent="0.25">
      <c r="B1" s="208" t="s">
        <v>3291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</row>
    <row r="3" spans="2:17" ht="18.75" x14ac:dyDescent="0.25">
      <c r="B3" s="120" t="s">
        <v>2545</v>
      </c>
      <c r="C3" s="210" t="s">
        <v>3292</v>
      </c>
      <c r="D3" s="211"/>
      <c r="E3" s="120" t="s">
        <v>1134</v>
      </c>
      <c r="J3" s="212" t="s">
        <v>3306</v>
      </c>
      <c r="K3" s="212"/>
      <c r="L3" s="212"/>
      <c r="M3" s="212"/>
      <c r="N3" s="212"/>
      <c r="O3" s="212"/>
      <c r="P3" s="212"/>
    </row>
    <row r="4" spans="2:17" x14ac:dyDescent="0.25">
      <c r="J4" s="212"/>
      <c r="K4" s="212"/>
      <c r="L4" s="212"/>
      <c r="M4" s="212"/>
      <c r="N4" s="212"/>
      <c r="O4" s="212"/>
      <c r="P4" s="212"/>
    </row>
    <row r="5" spans="2:17" ht="11.25" customHeight="1" x14ac:dyDescent="0.25">
      <c r="B5" s="122" t="str">
        <f>IFERROR(VLOOKUP(1,db_t1_vs_t2,6,FALSE),"")</f>
        <v>Argentina</v>
      </c>
      <c r="C5" s="123">
        <f>IFERROR(VLOOKUP(1,db_t1_vs_t2,7,FALSE),"")</f>
        <v>0</v>
      </c>
      <c r="D5" s="123">
        <f>IFERROR(VLOOKUP(1,db_t1_vs_t2,8,FALSE),"")</f>
        <v>1</v>
      </c>
      <c r="E5" s="124" t="str">
        <f>IFERROR(VLOOKUP(1,db_t1_vs_t2,9,FALSE),"")</f>
        <v>Angliya</v>
      </c>
      <c r="F5" s="125" t="str">
        <f>IFERROR(VLOOKUP(1,db_t1_vs_t2,4,FALSE),"")</f>
        <v>F guruhi</v>
      </c>
      <c r="G5" s="126">
        <f>IFERROR(VLOOKUP(1,db_t1_vs_t2,2,FALSE),"")</f>
        <v>37414</v>
      </c>
      <c r="H5" s="127">
        <f>IFERROR(VLOOKUP(1,db_t1_vs_t2,3,FALSE),"")</f>
        <v>2002</v>
      </c>
      <c r="J5" s="214" t="s">
        <v>2580</v>
      </c>
      <c r="K5" s="214"/>
      <c r="L5" s="214"/>
      <c r="M5" s="214"/>
      <c r="N5" s="214"/>
      <c r="O5" s="214"/>
      <c r="P5" s="214"/>
    </row>
    <row r="6" spans="2:17" ht="11.25" customHeight="1" x14ac:dyDescent="0.25">
      <c r="B6" s="122" t="str">
        <f>IFERROR(VLOOKUP(2,db_t1_vs_t2,6,FALSE),"")</f>
        <v>Argentina</v>
      </c>
      <c r="C6" s="123">
        <f>IFERROR(VLOOKUP(2,db_t1_vs_t2,7,FALSE),"")</f>
        <v>2</v>
      </c>
      <c r="D6" s="123">
        <f>IFERROR(VLOOKUP(2,db_t1_vs_t2,8,FALSE),"")</f>
        <v>2</v>
      </c>
      <c r="E6" s="124" t="str">
        <f>IFERROR(VLOOKUP(2,db_t1_vs_t2,9,FALSE),"")</f>
        <v>Angliya</v>
      </c>
      <c r="F6" s="125" t="str">
        <f>IFERROR(VLOOKUP(2,db_t1_vs_t2,4,FALSE),"")</f>
        <v>nimchorak</v>
      </c>
      <c r="G6" s="126">
        <f>IFERROR(VLOOKUP(2,db_t1_vs_t2,2,FALSE),"")</f>
        <v>35976</v>
      </c>
      <c r="H6" s="127">
        <f>IFERROR(VLOOKUP(2,db_t1_vs_t2,3,FALSE),"")</f>
        <v>1998</v>
      </c>
      <c r="J6" s="214"/>
      <c r="K6" s="214"/>
      <c r="L6" s="214"/>
      <c r="M6" s="214"/>
      <c r="N6" s="214"/>
      <c r="O6" s="214"/>
      <c r="P6" s="214"/>
    </row>
    <row r="7" spans="2:17" ht="11.25" customHeight="1" x14ac:dyDescent="0.25">
      <c r="B7" s="122" t="str">
        <f>IFERROR(VLOOKUP(3,db_t1_vs_t2,6,FALSE),"")</f>
        <v>Argentina</v>
      </c>
      <c r="C7" s="123">
        <f>IFERROR(VLOOKUP(3,db_t1_vs_t2,7,FALSE),"")</f>
        <v>2</v>
      </c>
      <c r="D7" s="123">
        <f>IFERROR(VLOOKUP(3,db_t1_vs_t2,8,FALSE),"")</f>
        <v>1</v>
      </c>
      <c r="E7" s="124" t="str">
        <f>IFERROR(VLOOKUP(3,db_t1_vs_t2,9,FALSE),"")</f>
        <v>Angliya</v>
      </c>
      <c r="F7" s="125" t="str">
        <f>IFERROR(VLOOKUP(3,db_t1_vs_t2,4,FALSE),"")</f>
        <v>chorak final</v>
      </c>
      <c r="G7" s="126">
        <f>IFERROR(VLOOKUP(3,db_t1_vs_t2,2,FALSE),"")</f>
        <v>31585</v>
      </c>
      <c r="H7" s="127">
        <f>IFERROR(VLOOKUP(3,db_t1_vs_t2,3,FALSE),"")</f>
        <v>1986</v>
      </c>
      <c r="J7" s="214"/>
      <c r="K7" s="214"/>
      <c r="L7" s="214"/>
      <c r="M7" s="214"/>
      <c r="N7" s="214"/>
      <c r="O7" s="214"/>
      <c r="P7" s="214"/>
    </row>
    <row r="8" spans="2:17" ht="11.25" customHeight="1" x14ac:dyDescent="0.25">
      <c r="B8" s="122" t="str">
        <f>IFERROR(VLOOKUP(4,db_t1_vs_t2,6,FALSE),"")</f>
        <v>Argentina</v>
      </c>
      <c r="C8" s="123">
        <f>IFERROR(VLOOKUP(4,db_t1_vs_t2,7,FALSE),"")</f>
        <v>0</v>
      </c>
      <c r="D8" s="123">
        <f>IFERROR(VLOOKUP(4,db_t1_vs_t2,8,FALSE),"")</f>
        <v>1</v>
      </c>
      <c r="E8" s="124" t="str">
        <f>IFERROR(VLOOKUP(4,db_t1_vs_t2,9,FALSE),"")</f>
        <v>Angliya</v>
      </c>
      <c r="F8" s="125" t="str">
        <f>IFERROR(VLOOKUP(4,db_t1_vs_t2,4,FALSE),"")</f>
        <v>chorak final</v>
      </c>
      <c r="G8" s="126">
        <f>IFERROR(VLOOKUP(4,db_t1_vs_t2,2,FALSE),"")</f>
        <v>24311</v>
      </c>
      <c r="H8" s="127">
        <f>IFERROR(VLOOKUP(4,db_t1_vs_t2,3,FALSE),"")</f>
        <v>1966</v>
      </c>
      <c r="J8" s="215" t="s">
        <v>3305</v>
      </c>
      <c r="K8" s="215"/>
      <c r="L8" s="215"/>
      <c r="M8" s="215"/>
      <c r="N8" s="215"/>
      <c r="O8" s="215"/>
      <c r="P8" s="215"/>
    </row>
    <row r="9" spans="2:17" ht="11.25" customHeight="1" x14ac:dyDescent="0.25">
      <c r="B9" s="122" t="str">
        <f>IFERROR(VLOOKUP(5,db_t1_vs_t2,6,FALSE),"")</f>
        <v>Argentina</v>
      </c>
      <c r="C9" s="123">
        <f>IFERROR(VLOOKUP(5,db_t1_vs_t2,7,FALSE),"")</f>
        <v>1</v>
      </c>
      <c r="D9" s="123">
        <f>IFERROR(VLOOKUP(5,db_t1_vs_t2,8,FALSE),"")</f>
        <v>3</v>
      </c>
      <c r="E9" s="124" t="str">
        <f>IFERROR(VLOOKUP(5,db_t1_vs_t2,9,FALSE),"")</f>
        <v>Angliya</v>
      </c>
      <c r="F9" s="125" t="str">
        <f>IFERROR(VLOOKUP(5,db_t1_vs_t2,4,FALSE),"")</f>
        <v>4-guruh</v>
      </c>
      <c r="G9" s="126">
        <f>IFERROR(VLOOKUP(5,db_t1_vs_t2,2,FALSE),"")</f>
        <v>22799</v>
      </c>
      <c r="H9" s="127">
        <f>IFERROR(VLOOKUP(5,db_t1_vs_t2,3,FALSE),"")</f>
        <v>1962</v>
      </c>
      <c r="J9" s="215"/>
      <c r="K9" s="215"/>
      <c r="L9" s="215"/>
      <c r="M9" s="215"/>
      <c r="N9" s="215"/>
      <c r="O9" s="215"/>
      <c r="P9" s="215"/>
    </row>
    <row r="10" spans="2:17" x14ac:dyDescent="0.25">
      <c r="N10" s="119"/>
    </row>
    <row r="11" spans="2:17" x14ac:dyDescent="0.25">
      <c r="B11" s="213" t="str">
        <f>team1</f>
        <v>Angliya</v>
      </c>
      <c r="C11" s="213"/>
      <c r="D11" s="213"/>
      <c r="J11" s="213" t="str">
        <f>team2</f>
        <v>Argentina</v>
      </c>
      <c r="K11" s="213"/>
      <c r="L11" s="213"/>
      <c r="M11" s="128"/>
      <c r="N11" s="128"/>
      <c r="O11" s="128"/>
      <c r="P11" s="128"/>
      <c r="Q11" s="128"/>
    </row>
    <row r="12" spans="2:17" x14ac:dyDescent="0.25">
      <c r="B12" s="213"/>
      <c r="C12" s="213"/>
      <c r="D12" s="213"/>
      <c r="J12" s="213"/>
      <c r="K12" s="213"/>
      <c r="L12" s="213"/>
      <c r="M12" s="128"/>
      <c r="N12" s="128"/>
      <c r="O12" s="128"/>
      <c r="P12" s="128"/>
      <c r="Q12" s="128"/>
    </row>
    <row r="13" spans="2:17" x14ac:dyDescent="0.25">
      <c r="M13" s="128"/>
      <c r="N13" s="128"/>
      <c r="O13" s="128"/>
      <c r="P13" s="128"/>
      <c r="Q13" s="128"/>
    </row>
    <row r="14" spans="2:17" x14ac:dyDescent="0.25">
      <c r="B14" s="129" t="s">
        <v>3293</v>
      </c>
      <c r="C14" s="130">
        <f>SUM(t1_win)</f>
        <v>25</v>
      </c>
      <c r="E14" s="131" t="s">
        <v>3294</v>
      </c>
      <c r="F14" s="128">
        <f>COUNTIF(t1_dif,"&gt;=3")</f>
        <v>3</v>
      </c>
      <c r="J14" s="129" t="s">
        <v>3293</v>
      </c>
      <c r="K14" s="130">
        <f>SUM(t2_win)</f>
        <v>43</v>
      </c>
      <c r="M14" s="131" t="s">
        <v>3294</v>
      </c>
      <c r="N14" s="128">
        <f>COUNTIF(t2_dif,"&gt;=3")</f>
        <v>10</v>
      </c>
      <c r="O14" s="128"/>
      <c r="P14" s="128"/>
      <c r="Q14" s="128"/>
    </row>
    <row r="15" spans="2:17" x14ac:dyDescent="0.25">
      <c r="B15" s="129" t="s">
        <v>3295</v>
      </c>
      <c r="C15" s="130">
        <f>SUM(t1_draw)</f>
        <v>20</v>
      </c>
      <c r="E15" s="131" t="s">
        <v>3296</v>
      </c>
      <c r="F15" s="128">
        <f>COUNTIF(t1_dif,"=2")</f>
        <v>10</v>
      </c>
      <c r="J15" s="129" t="s">
        <v>3295</v>
      </c>
      <c r="K15" s="130">
        <f>SUM(t2_draw)</f>
        <v>16</v>
      </c>
      <c r="M15" s="131" t="s">
        <v>3296</v>
      </c>
      <c r="N15" s="128">
        <f>COUNTIF(t2_dif,"=2")</f>
        <v>12</v>
      </c>
      <c r="O15" s="128"/>
      <c r="P15" s="128"/>
      <c r="Q15" s="128"/>
    </row>
    <row r="16" spans="2:17" x14ac:dyDescent="0.25">
      <c r="B16" s="129" t="s">
        <v>3297</v>
      </c>
      <c r="C16" s="130">
        <f>SUM(t1_lose)</f>
        <v>17</v>
      </c>
      <c r="E16" s="131" t="s">
        <v>3298</v>
      </c>
      <c r="F16" s="128">
        <f>COUNTIF(t1_dif,"=1")</f>
        <v>12</v>
      </c>
      <c r="J16" s="129" t="s">
        <v>3297</v>
      </c>
      <c r="K16" s="130">
        <f>SUM(t2_lose)</f>
        <v>24</v>
      </c>
      <c r="M16" s="131" t="s">
        <v>3298</v>
      </c>
      <c r="N16" s="128">
        <f>COUNTIF(t2_dif,"=1")</f>
        <v>21</v>
      </c>
      <c r="O16" s="128"/>
      <c r="P16" s="128"/>
      <c r="Q16" s="128"/>
    </row>
    <row r="17" spans="1:17" x14ac:dyDescent="0.25">
      <c r="E17" s="131" t="s">
        <v>3299</v>
      </c>
      <c r="F17" s="128">
        <f>COUNTIF(t1_dif,"=0")</f>
        <v>20</v>
      </c>
      <c r="M17" s="131" t="s">
        <v>3299</v>
      </c>
      <c r="N17" s="128">
        <f>COUNTIF(t2_dif,"=0")</f>
        <v>16</v>
      </c>
      <c r="O17" s="128"/>
      <c r="P17" s="128"/>
      <c r="Q17" s="128"/>
    </row>
    <row r="18" spans="1:17" x14ac:dyDescent="0.25">
      <c r="E18" s="131" t="s">
        <v>3300</v>
      </c>
      <c r="F18" s="128">
        <f>COUNTIF(t1_dif,"=-1")</f>
        <v>13</v>
      </c>
      <c r="M18" s="131" t="s">
        <v>3300</v>
      </c>
      <c r="N18" s="128">
        <f>COUNTIF(t2_dif,"=-1")</f>
        <v>15</v>
      </c>
      <c r="O18" s="128"/>
      <c r="P18" s="128"/>
      <c r="Q18" s="128"/>
    </row>
    <row r="19" spans="1:17" x14ac:dyDescent="0.25">
      <c r="E19" s="131" t="s">
        <v>3301</v>
      </c>
      <c r="F19" s="128">
        <f>COUNTIF(t1_dif,"=-2")</f>
        <v>3</v>
      </c>
      <c r="M19" s="131" t="s">
        <v>3301</v>
      </c>
      <c r="N19" s="128">
        <f>COUNTIF(t2_dif,"=-2")</f>
        <v>5</v>
      </c>
      <c r="O19" s="128"/>
      <c r="P19" s="128"/>
      <c r="Q19" s="128"/>
    </row>
    <row r="20" spans="1:17" x14ac:dyDescent="0.25">
      <c r="E20" s="131" t="s">
        <v>3302</v>
      </c>
      <c r="F20" s="128">
        <f>COUNTIF(t1_dif,"&lt;-2")</f>
        <v>1</v>
      </c>
      <c r="M20" s="131" t="s">
        <v>3302</v>
      </c>
      <c r="N20" s="128">
        <f>COUNTIF(t2_dif,"&lt;-2")</f>
        <v>4</v>
      </c>
      <c r="O20" s="128"/>
      <c r="P20" s="128"/>
      <c r="Q20" s="128"/>
    </row>
    <row r="21" spans="1:17" x14ac:dyDescent="0.25">
      <c r="N21" s="119"/>
    </row>
    <row r="22" spans="1:17" x14ac:dyDescent="0.25">
      <c r="A22" s="132">
        <v>1</v>
      </c>
      <c r="B22" s="122" t="str">
        <f t="shared" ref="B22:B53" si="0">IFERROR(VLOOKUP($A22,db_t1,8,FALSE),"")</f>
        <v>Kosta-Rika</v>
      </c>
      <c r="C22" s="123">
        <f t="shared" ref="C22:C53" si="1">IFERROR(VLOOKUP($A22,db_t1,9,FALSE),"")</f>
        <v>0</v>
      </c>
      <c r="D22" s="123">
        <f t="shared" ref="D22:D53" si="2">IFERROR(VLOOKUP($A22,db_t1,10,FALSE),"")</f>
        <v>0</v>
      </c>
      <c r="E22" s="124" t="str">
        <f t="shared" ref="E22:E53" si="3">IFERROR(VLOOKUP($A22,db_t1,11,FALSE),"")</f>
        <v>Angliya</v>
      </c>
      <c r="F22" s="125" t="str">
        <f t="shared" ref="F22:F53" si="4">IFERROR(VLOOKUP($A22,db_t1,6,FALSE),"")</f>
        <v>D guruhi</v>
      </c>
      <c r="G22" s="133">
        <f t="shared" ref="G22:G53" si="5">IFERROR(VLOOKUP($A22,db_t1,4,FALSE),"")</f>
        <v>41814</v>
      </c>
      <c r="H22" s="127">
        <f t="shared" ref="H22:H53" si="6">IFERROR(VLOOKUP($A22,db_t1,5,FALSE),"")</f>
        <v>2014</v>
      </c>
      <c r="J22" s="122" t="str">
        <f t="shared" ref="J22:J53" si="7">IFERROR(VLOOKUP($A22,db_t2,7,FALSE),"")</f>
        <v>Argentina</v>
      </c>
      <c r="K22" s="123">
        <f t="shared" ref="K22:K53" si="8">IFERROR(VLOOKUP($A22,db_t2,8,FALSE),"")</f>
        <v>0</v>
      </c>
      <c r="L22" s="123">
        <f t="shared" ref="L22:L53" si="9">IFERROR(VLOOKUP($A22,db_t2,9,FALSE),"")</f>
        <v>1</v>
      </c>
      <c r="M22" s="124" t="str">
        <f t="shared" ref="M22:M53" si="10">IFERROR(VLOOKUP($A22,db_t2,10,FALSE),"")</f>
        <v>Germaniya</v>
      </c>
      <c r="N22" s="125" t="str">
        <f t="shared" ref="N22:N53" si="11">IFERROR(VLOOKUP($A22,db_t2,5,FALSE),"")</f>
        <v>final</v>
      </c>
      <c r="O22" s="133">
        <f t="shared" ref="O22:O53" si="12">IFERROR(VLOOKUP($A22,db_t2,3,FALSE),"")</f>
        <v>41833</v>
      </c>
      <c r="P22" s="127">
        <f t="shared" ref="P22:P53" si="13">IFERROR(VLOOKUP($A22,db_t2,4,FALSE),"")</f>
        <v>2014</v>
      </c>
    </row>
    <row r="23" spans="1:17" x14ac:dyDescent="0.25">
      <c r="A23" s="132">
        <v>2</v>
      </c>
      <c r="B23" s="122" t="str">
        <f t="shared" si="0"/>
        <v>Angliya</v>
      </c>
      <c r="C23" s="123">
        <f t="shared" si="1"/>
        <v>1</v>
      </c>
      <c r="D23" s="123">
        <f t="shared" si="2"/>
        <v>2</v>
      </c>
      <c r="E23" s="124" t="str">
        <f t="shared" si="3"/>
        <v>Urugvay</v>
      </c>
      <c r="F23" s="125" t="str">
        <f t="shared" si="4"/>
        <v>D guruhi</v>
      </c>
      <c r="G23" s="133">
        <f t="shared" si="5"/>
        <v>41809</v>
      </c>
      <c r="H23" s="127">
        <f t="shared" si="6"/>
        <v>2014</v>
      </c>
      <c r="J23" s="122" t="str">
        <f t="shared" si="7"/>
        <v>Argentina</v>
      </c>
      <c r="K23" s="123">
        <f t="shared" si="8"/>
        <v>0</v>
      </c>
      <c r="L23" s="123">
        <f t="shared" si="9"/>
        <v>0</v>
      </c>
      <c r="M23" s="124" t="str">
        <f t="shared" si="10"/>
        <v>Nederlandiya</v>
      </c>
      <c r="N23" s="125" t="str">
        <f t="shared" si="11"/>
        <v>yarim final</v>
      </c>
      <c r="O23" s="133">
        <f t="shared" si="12"/>
        <v>41829</v>
      </c>
      <c r="P23" s="127">
        <f t="shared" si="13"/>
        <v>2014</v>
      </c>
    </row>
    <row r="24" spans="1:17" x14ac:dyDescent="0.25">
      <c r="A24" s="132">
        <v>3</v>
      </c>
      <c r="B24" s="122" t="str">
        <f t="shared" si="0"/>
        <v>Angliya</v>
      </c>
      <c r="C24" s="123">
        <f t="shared" si="1"/>
        <v>1</v>
      </c>
      <c r="D24" s="123">
        <f t="shared" si="2"/>
        <v>2</v>
      </c>
      <c r="E24" s="124" t="str">
        <f t="shared" si="3"/>
        <v>Italiya</v>
      </c>
      <c r="F24" s="125" t="str">
        <f t="shared" si="4"/>
        <v>D guruhi</v>
      </c>
      <c r="G24" s="133">
        <f t="shared" si="5"/>
        <v>41804</v>
      </c>
      <c r="H24" s="127">
        <f t="shared" si="6"/>
        <v>2014</v>
      </c>
      <c r="J24" s="122" t="str">
        <f t="shared" si="7"/>
        <v>Argentina</v>
      </c>
      <c r="K24" s="123">
        <f t="shared" si="8"/>
        <v>1</v>
      </c>
      <c r="L24" s="123">
        <f t="shared" si="9"/>
        <v>0</v>
      </c>
      <c r="M24" s="124" t="str">
        <f t="shared" si="10"/>
        <v>Belgiya</v>
      </c>
      <c r="N24" s="125" t="str">
        <f t="shared" si="11"/>
        <v>chorak final</v>
      </c>
      <c r="O24" s="133">
        <f t="shared" si="12"/>
        <v>41825</v>
      </c>
      <c r="P24" s="127">
        <f t="shared" si="13"/>
        <v>2014</v>
      </c>
    </row>
    <row r="25" spans="1:17" x14ac:dyDescent="0.25">
      <c r="A25" s="132">
        <v>4</v>
      </c>
      <c r="B25" s="122" t="str">
        <f t="shared" si="0"/>
        <v>Angliya</v>
      </c>
      <c r="C25" s="123">
        <f t="shared" si="1"/>
        <v>1</v>
      </c>
      <c r="D25" s="123">
        <f t="shared" si="2"/>
        <v>4</v>
      </c>
      <c r="E25" s="124" t="str">
        <f t="shared" si="3"/>
        <v>Germaniya</v>
      </c>
      <c r="F25" s="125" t="str">
        <f t="shared" si="4"/>
        <v>nimchorak</v>
      </c>
      <c r="G25" s="133">
        <f t="shared" si="5"/>
        <v>40356</v>
      </c>
      <c r="H25" s="127">
        <f t="shared" si="6"/>
        <v>2010</v>
      </c>
      <c r="J25" s="122" t="str">
        <f t="shared" si="7"/>
        <v>Argentina</v>
      </c>
      <c r="K25" s="123">
        <f t="shared" si="8"/>
        <v>1</v>
      </c>
      <c r="L25" s="123">
        <f t="shared" si="9"/>
        <v>0</v>
      </c>
      <c r="M25" s="124" t="str">
        <f t="shared" si="10"/>
        <v>Shveysariya</v>
      </c>
      <c r="N25" s="125" t="str">
        <f t="shared" si="11"/>
        <v>nimchorak</v>
      </c>
      <c r="O25" s="133">
        <f t="shared" si="12"/>
        <v>41821</v>
      </c>
      <c r="P25" s="127">
        <f t="shared" si="13"/>
        <v>2014</v>
      </c>
    </row>
    <row r="26" spans="1:17" x14ac:dyDescent="0.25">
      <c r="A26" s="132">
        <v>5</v>
      </c>
      <c r="B26" s="122" t="str">
        <f t="shared" si="0"/>
        <v>Angliya</v>
      </c>
      <c r="C26" s="123">
        <f t="shared" si="1"/>
        <v>1</v>
      </c>
      <c r="D26" s="123">
        <f t="shared" si="2"/>
        <v>0</v>
      </c>
      <c r="E26" s="124" t="str">
        <f t="shared" si="3"/>
        <v>Sloveniya</v>
      </c>
      <c r="F26" s="125" t="str">
        <f t="shared" si="4"/>
        <v>C guruhi</v>
      </c>
      <c r="G26" s="133">
        <f t="shared" si="5"/>
        <v>40352</v>
      </c>
      <c r="H26" s="127">
        <f t="shared" si="6"/>
        <v>2010</v>
      </c>
      <c r="J26" s="122" t="str">
        <f t="shared" si="7"/>
        <v>Argentina</v>
      </c>
      <c r="K26" s="123">
        <f t="shared" si="8"/>
        <v>3</v>
      </c>
      <c r="L26" s="123">
        <f t="shared" si="9"/>
        <v>2</v>
      </c>
      <c r="M26" s="124" t="str">
        <f t="shared" si="10"/>
        <v>Nigeriya</v>
      </c>
      <c r="N26" s="125" t="str">
        <f t="shared" si="11"/>
        <v>F guruhi</v>
      </c>
      <c r="O26" s="133">
        <f t="shared" si="12"/>
        <v>41815</v>
      </c>
      <c r="P26" s="127">
        <f t="shared" si="13"/>
        <v>2014</v>
      </c>
    </row>
    <row r="27" spans="1:17" x14ac:dyDescent="0.25">
      <c r="A27" s="132">
        <v>6</v>
      </c>
      <c r="B27" s="122" t="str">
        <f t="shared" si="0"/>
        <v>Jazoir</v>
      </c>
      <c r="C27" s="123">
        <f t="shared" si="1"/>
        <v>0</v>
      </c>
      <c r="D27" s="123">
        <f t="shared" si="2"/>
        <v>0</v>
      </c>
      <c r="E27" s="124" t="str">
        <f t="shared" si="3"/>
        <v>Angliya</v>
      </c>
      <c r="F27" s="125" t="str">
        <f t="shared" si="4"/>
        <v>C guruhi</v>
      </c>
      <c r="G27" s="133">
        <f t="shared" si="5"/>
        <v>40347</v>
      </c>
      <c r="H27" s="127">
        <f t="shared" si="6"/>
        <v>2010</v>
      </c>
      <c r="J27" s="122" t="str">
        <f t="shared" si="7"/>
        <v>Argentina</v>
      </c>
      <c r="K27" s="123">
        <f t="shared" si="8"/>
        <v>1</v>
      </c>
      <c r="L27" s="123">
        <f t="shared" si="9"/>
        <v>0</v>
      </c>
      <c r="M27" s="124" t="str">
        <f t="shared" si="10"/>
        <v>Eron</v>
      </c>
      <c r="N27" s="125" t="str">
        <f t="shared" si="11"/>
        <v>F guruhi</v>
      </c>
      <c r="O27" s="133">
        <f t="shared" si="12"/>
        <v>41811</v>
      </c>
      <c r="P27" s="127">
        <f t="shared" si="13"/>
        <v>2014</v>
      </c>
    </row>
    <row r="28" spans="1:17" x14ac:dyDescent="0.25">
      <c r="A28" s="132">
        <v>7</v>
      </c>
      <c r="B28" s="122" t="str">
        <f t="shared" si="0"/>
        <v>Angliya</v>
      </c>
      <c r="C28" s="123">
        <f t="shared" si="1"/>
        <v>1</v>
      </c>
      <c r="D28" s="123">
        <f t="shared" si="2"/>
        <v>1</v>
      </c>
      <c r="E28" s="124" t="str">
        <f t="shared" si="3"/>
        <v>AQSh</v>
      </c>
      <c r="F28" s="125" t="str">
        <f t="shared" si="4"/>
        <v>C guruhi</v>
      </c>
      <c r="G28" s="133">
        <f t="shared" si="5"/>
        <v>40341</v>
      </c>
      <c r="H28" s="127">
        <f t="shared" si="6"/>
        <v>2010</v>
      </c>
      <c r="J28" s="122" t="str">
        <f t="shared" si="7"/>
        <v>Argentina</v>
      </c>
      <c r="K28" s="123">
        <f t="shared" si="8"/>
        <v>2</v>
      </c>
      <c r="L28" s="123">
        <f t="shared" si="9"/>
        <v>1</v>
      </c>
      <c r="M28" s="124" t="str">
        <f t="shared" si="10"/>
        <v>Bosniya va Gersegovina</v>
      </c>
      <c r="N28" s="125" t="str">
        <f t="shared" si="11"/>
        <v>F guruhi</v>
      </c>
      <c r="O28" s="133">
        <f t="shared" si="12"/>
        <v>41805</v>
      </c>
      <c r="P28" s="127">
        <f t="shared" si="13"/>
        <v>2014</v>
      </c>
    </row>
    <row r="29" spans="1:17" x14ac:dyDescent="0.25">
      <c r="A29" s="132">
        <v>8</v>
      </c>
      <c r="B29" s="122" t="str">
        <f t="shared" si="0"/>
        <v>Angliya</v>
      </c>
      <c r="C29" s="123">
        <f t="shared" si="1"/>
        <v>0</v>
      </c>
      <c r="D29" s="123">
        <f t="shared" si="2"/>
        <v>0</v>
      </c>
      <c r="E29" s="124" t="str">
        <f t="shared" si="3"/>
        <v>Portugaliya</v>
      </c>
      <c r="F29" s="125" t="str">
        <f t="shared" si="4"/>
        <v>chorak final</v>
      </c>
      <c r="G29" s="133">
        <f t="shared" si="5"/>
        <v>38899</v>
      </c>
      <c r="H29" s="127">
        <f t="shared" si="6"/>
        <v>2006</v>
      </c>
      <c r="J29" s="122" t="str">
        <f t="shared" si="7"/>
        <v>Argentina</v>
      </c>
      <c r="K29" s="123">
        <f t="shared" si="8"/>
        <v>0</v>
      </c>
      <c r="L29" s="123">
        <f t="shared" si="9"/>
        <v>4</v>
      </c>
      <c r="M29" s="124" t="str">
        <f t="shared" si="10"/>
        <v>Germaniya</v>
      </c>
      <c r="N29" s="125" t="str">
        <f t="shared" si="11"/>
        <v>chorak final</v>
      </c>
      <c r="O29" s="133">
        <f t="shared" si="12"/>
        <v>40362</v>
      </c>
      <c r="P29" s="127">
        <f t="shared" si="13"/>
        <v>2010</v>
      </c>
    </row>
    <row r="30" spans="1:17" x14ac:dyDescent="0.25">
      <c r="A30" s="132">
        <v>9</v>
      </c>
      <c r="B30" s="122" t="str">
        <f t="shared" si="0"/>
        <v>Ekvador</v>
      </c>
      <c r="C30" s="123">
        <f t="shared" si="1"/>
        <v>0</v>
      </c>
      <c r="D30" s="123">
        <f t="shared" si="2"/>
        <v>1</v>
      </c>
      <c r="E30" s="124" t="str">
        <f t="shared" si="3"/>
        <v>Angliya</v>
      </c>
      <c r="F30" s="125" t="str">
        <f t="shared" si="4"/>
        <v>nimchorak</v>
      </c>
      <c r="G30" s="133">
        <f t="shared" si="5"/>
        <v>38893</v>
      </c>
      <c r="H30" s="127">
        <f t="shared" si="6"/>
        <v>2006</v>
      </c>
      <c r="J30" s="122" t="str">
        <f t="shared" si="7"/>
        <v>Argentina</v>
      </c>
      <c r="K30" s="123">
        <f t="shared" si="8"/>
        <v>3</v>
      </c>
      <c r="L30" s="123">
        <f t="shared" si="9"/>
        <v>1</v>
      </c>
      <c r="M30" s="124" t="str">
        <f t="shared" si="10"/>
        <v>Meksika</v>
      </c>
      <c r="N30" s="125" t="str">
        <f t="shared" si="11"/>
        <v>nimchorak</v>
      </c>
      <c r="O30" s="133">
        <f t="shared" si="12"/>
        <v>40356</v>
      </c>
      <c r="P30" s="127">
        <f t="shared" si="13"/>
        <v>2010</v>
      </c>
    </row>
    <row r="31" spans="1:17" x14ac:dyDescent="0.25">
      <c r="A31" s="132">
        <v>10</v>
      </c>
      <c r="B31" s="122" t="str">
        <f t="shared" si="0"/>
        <v>Angliya</v>
      </c>
      <c r="C31" s="123">
        <f t="shared" si="1"/>
        <v>2</v>
      </c>
      <c r="D31" s="123">
        <f t="shared" si="2"/>
        <v>2</v>
      </c>
      <c r="E31" s="124" t="str">
        <f t="shared" si="3"/>
        <v>Shvetsiya</v>
      </c>
      <c r="F31" s="125" t="str">
        <f t="shared" si="4"/>
        <v>B guruhi</v>
      </c>
      <c r="G31" s="133">
        <f t="shared" si="5"/>
        <v>38888</v>
      </c>
      <c r="H31" s="127">
        <f t="shared" si="6"/>
        <v>2006</v>
      </c>
      <c r="J31" s="122" t="str">
        <f t="shared" si="7"/>
        <v>Argentina</v>
      </c>
      <c r="K31" s="123">
        <f t="shared" si="8"/>
        <v>2</v>
      </c>
      <c r="L31" s="123">
        <f t="shared" si="9"/>
        <v>0</v>
      </c>
      <c r="M31" s="124" t="str">
        <f t="shared" si="10"/>
        <v>Gretsiya</v>
      </c>
      <c r="N31" s="125" t="str">
        <f t="shared" si="11"/>
        <v>B guruhi</v>
      </c>
      <c r="O31" s="133">
        <f t="shared" si="12"/>
        <v>40351</v>
      </c>
      <c r="P31" s="127">
        <f t="shared" si="13"/>
        <v>2010</v>
      </c>
    </row>
    <row r="32" spans="1:17" x14ac:dyDescent="0.25">
      <c r="A32" s="132">
        <v>11</v>
      </c>
      <c r="B32" s="122" t="str">
        <f t="shared" si="0"/>
        <v>Angliya</v>
      </c>
      <c r="C32" s="123">
        <f t="shared" si="1"/>
        <v>2</v>
      </c>
      <c r="D32" s="123">
        <f t="shared" si="2"/>
        <v>0</v>
      </c>
      <c r="E32" s="124" t="str">
        <f t="shared" si="3"/>
        <v>Trinidad and Tobago</v>
      </c>
      <c r="F32" s="125" t="str">
        <f t="shared" si="4"/>
        <v>B guruhi</v>
      </c>
      <c r="G32" s="133">
        <f t="shared" si="5"/>
        <v>38883</v>
      </c>
      <c r="H32" s="127">
        <f t="shared" si="6"/>
        <v>2006</v>
      </c>
      <c r="J32" s="122" t="str">
        <f t="shared" si="7"/>
        <v>Argentina</v>
      </c>
      <c r="K32" s="123">
        <f t="shared" si="8"/>
        <v>4</v>
      </c>
      <c r="L32" s="123">
        <f t="shared" si="9"/>
        <v>1</v>
      </c>
      <c r="M32" s="124" t="str">
        <f t="shared" si="10"/>
        <v>Janubiy Koreya</v>
      </c>
      <c r="N32" s="125" t="str">
        <f t="shared" si="11"/>
        <v>B guruhi</v>
      </c>
      <c r="O32" s="133">
        <f t="shared" si="12"/>
        <v>40346</v>
      </c>
      <c r="P32" s="127">
        <f t="shared" si="13"/>
        <v>2010</v>
      </c>
    </row>
    <row r="33" spans="1:16" x14ac:dyDescent="0.25">
      <c r="A33" s="132">
        <v>12</v>
      </c>
      <c r="B33" s="122" t="str">
        <f t="shared" si="0"/>
        <v>Angliya</v>
      </c>
      <c r="C33" s="123">
        <f t="shared" si="1"/>
        <v>1</v>
      </c>
      <c r="D33" s="123">
        <f t="shared" si="2"/>
        <v>0</v>
      </c>
      <c r="E33" s="124" t="str">
        <f t="shared" si="3"/>
        <v>Paragvay</v>
      </c>
      <c r="F33" s="125" t="str">
        <f t="shared" si="4"/>
        <v>B guruhi</v>
      </c>
      <c r="G33" s="133">
        <f t="shared" si="5"/>
        <v>38878</v>
      </c>
      <c r="H33" s="127">
        <f t="shared" si="6"/>
        <v>2006</v>
      </c>
      <c r="J33" s="122" t="str">
        <f t="shared" si="7"/>
        <v>Argentina</v>
      </c>
      <c r="K33" s="123">
        <f t="shared" si="8"/>
        <v>1</v>
      </c>
      <c r="L33" s="123">
        <f t="shared" si="9"/>
        <v>0</v>
      </c>
      <c r="M33" s="124" t="str">
        <f t="shared" si="10"/>
        <v>Nigeriya</v>
      </c>
      <c r="N33" s="125" t="str">
        <f t="shared" si="11"/>
        <v>B guruhi</v>
      </c>
      <c r="O33" s="133">
        <f t="shared" si="12"/>
        <v>40341</v>
      </c>
      <c r="P33" s="127">
        <f t="shared" si="13"/>
        <v>2010</v>
      </c>
    </row>
    <row r="34" spans="1:16" x14ac:dyDescent="0.25">
      <c r="A34" s="132">
        <v>13</v>
      </c>
      <c r="B34" s="122" t="str">
        <f t="shared" si="0"/>
        <v>Braziliya</v>
      </c>
      <c r="C34" s="123">
        <f t="shared" si="1"/>
        <v>2</v>
      </c>
      <c r="D34" s="123">
        <f t="shared" si="2"/>
        <v>1</v>
      </c>
      <c r="E34" s="124" t="str">
        <f t="shared" si="3"/>
        <v>Angliya</v>
      </c>
      <c r="F34" s="125" t="str">
        <f t="shared" si="4"/>
        <v>chorak final</v>
      </c>
      <c r="G34" s="133">
        <f t="shared" si="5"/>
        <v>37428</v>
      </c>
      <c r="H34" s="127">
        <f t="shared" si="6"/>
        <v>2002</v>
      </c>
      <c r="J34" s="122" t="str">
        <f t="shared" si="7"/>
        <v>Argentina</v>
      </c>
      <c r="K34" s="123">
        <f t="shared" si="8"/>
        <v>1</v>
      </c>
      <c r="L34" s="123">
        <f t="shared" si="9"/>
        <v>1</v>
      </c>
      <c r="M34" s="124" t="str">
        <f t="shared" si="10"/>
        <v>Germaniya</v>
      </c>
      <c r="N34" s="125" t="str">
        <f t="shared" si="11"/>
        <v>chorak final</v>
      </c>
      <c r="O34" s="133">
        <f t="shared" si="12"/>
        <v>38898</v>
      </c>
      <c r="P34" s="127">
        <f t="shared" si="13"/>
        <v>2006</v>
      </c>
    </row>
    <row r="35" spans="1:16" x14ac:dyDescent="0.25">
      <c r="A35" s="132">
        <v>14</v>
      </c>
      <c r="B35" s="122" t="str">
        <f t="shared" si="0"/>
        <v>Daniya</v>
      </c>
      <c r="C35" s="123">
        <f t="shared" si="1"/>
        <v>0</v>
      </c>
      <c r="D35" s="123">
        <f t="shared" si="2"/>
        <v>3</v>
      </c>
      <c r="E35" s="124" t="str">
        <f t="shared" si="3"/>
        <v>Angliya</v>
      </c>
      <c r="F35" s="125" t="str">
        <f t="shared" si="4"/>
        <v>nimchorak</v>
      </c>
      <c r="G35" s="133">
        <f t="shared" si="5"/>
        <v>37422</v>
      </c>
      <c r="H35" s="127">
        <f t="shared" si="6"/>
        <v>2002</v>
      </c>
      <c r="J35" s="122" t="str">
        <f t="shared" si="7"/>
        <v>Argentina</v>
      </c>
      <c r="K35" s="123">
        <f t="shared" si="8"/>
        <v>2</v>
      </c>
      <c r="L35" s="123">
        <f t="shared" si="9"/>
        <v>1</v>
      </c>
      <c r="M35" s="124" t="str">
        <f t="shared" si="10"/>
        <v>Meksika</v>
      </c>
      <c r="N35" s="125" t="str">
        <f t="shared" si="11"/>
        <v>nimchorak</v>
      </c>
      <c r="O35" s="133">
        <f t="shared" si="12"/>
        <v>38892</v>
      </c>
      <c r="P35" s="127">
        <f t="shared" si="13"/>
        <v>2006</v>
      </c>
    </row>
    <row r="36" spans="1:16" x14ac:dyDescent="0.25">
      <c r="A36" s="132">
        <v>15</v>
      </c>
      <c r="B36" s="122" t="str">
        <f t="shared" si="0"/>
        <v>Angliya</v>
      </c>
      <c r="C36" s="123">
        <f t="shared" si="1"/>
        <v>0</v>
      </c>
      <c r="D36" s="123">
        <f t="shared" si="2"/>
        <v>0</v>
      </c>
      <c r="E36" s="124" t="str">
        <f t="shared" si="3"/>
        <v>Nigeriya</v>
      </c>
      <c r="F36" s="125" t="str">
        <f t="shared" si="4"/>
        <v>F guruhi</v>
      </c>
      <c r="G36" s="133">
        <f t="shared" si="5"/>
        <v>37419</v>
      </c>
      <c r="H36" s="127">
        <f t="shared" si="6"/>
        <v>2002</v>
      </c>
      <c r="J36" s="122" t="str">
        <f t="shared" si="7"/>
        <v>Argentina</v>
      </c>
      <c r="K36" s="123">
        <f t="shared" si="8"/>
        <v>0</v>
      </c>
      <c r="L36" s="123">
        <f t="shared" si="9"/>
        <v>0</v>
      </c>
      <c r="M36" s="124" t="str">
        <f t="shared" si="10"/>
        <v>Nederlandiya</v>
      </c>
      <c r="N36" s="125" t="str">
        <f t="shared" si="11"/>
        <v>C guruhi</v>
      </c>
      <c r="O36" s="133">
        <f t="shared" si="12"/>
        <v>38889</v>
      </c>
      <c r="P36" s="127">
        <f t="shared" si="13"/>
        <v>2006</v>
      </c>
    </row>
    <row r="37" spans="1:16" x14ac:dyDescent="0.25">
      <c r="A37" s="132">
        <v>16</v>
      </c>
      <c r="B37" s="122" t="str">
        <f t="shared" si="0"/>
        <v>Argentina</v>
      </c>
      <c r="C37" s="123">
        <f t="shared" si="1"/>
        <v>0</v>
      </c>
      <c r="D37" s="123">
        <f t="shared" si="2"/>
        <v>1</v>
      </c>
      <c r="E37" s="124" t="str">
        <f t="shared" si="3"/>
        <v>Angliya</v>
      </c>
      <c r="F37" s="125" t="str">
        <f t="shared" si="4"/>
        <v>F guruhi</v>
      </c>
      <c r="G37" s="133">
        <f t="shared" si="5"/>
        <v>37414</v>
      </c>
      <c r="H37" s="127">
        <f t="shared" si="6"/>
        <v>2002</v>
      </c>
      <c r="J37" s="122" t="str">
        <f t="shared" si="7"/>
        <v>Argentina</v>
      </c>
      <c r="K37" s="123">
        <f t="shared" si="8"/>
        <v>6</v>
      </c>
      <c r="L37" s="123">
        <f t="shared" si="9"/>
        <v>0</v>
      </c>
      <c r="M37" s="124" t="str">
        <f t="shared" si="10"/>
        <v>Serbia and Montenegro</v>
      </c>
      <c r="N37" s="125" t="str">
        <f t="shared" si="11"/>
        <v>C guruhi</v>
      </c>
      <c r="O37" s="133">
        <f t="shared" si="12"/>
        <v>38884</v>
      </c>
      <c r="P37" s="127">
        <f t="shared" si="13"/>
        <v>2006</v>
      </c>
    </row>
    <row r="38" spans="1:16" x14ac:dyDescent="0.25">
      <c r="A38" s="132">
        <v>17</v>
      </c>
      <c r="B38" s="122" t="str">
        <f t="shared" si="0"/>
        <v>Angliya</v>
      </c>
      <c r="C38" s="123">
        <f t="shared" si="1"/>
        <v>1</v>
      </c>
      <c r="D38" s="123">
        <f t="shared" si="2"/>
        <v>1</v>
      </c>
      <c r="E38" s="124" t="str">
        <f t="shared" si="3"/>
        <v>Shvetsiya</v>
      </c>
      <c r="F38" s="125" t="str">
        <f t="shared" si="4"/>
        <v>F guruhi</v>
      </c>
      <c r="G38" s="133">
        <f t="shared" si="5"/>
        <v>37409</v>
      </c>
      <c r="H38" s="127">
        <f t="shared" si="6"/>
        <v>2002</v>
      </c>
      <c r="J38" s="122" t="str">
        <f t="shared" si="7"/>
        <v>Argentina</v>
      </c>
      <c r="K38" s="123">
        <f t="shared" si="8"/>
        <v>2</v>
      </c>
      <c r="L38" s="123">
        <f t="shared" si="9"/>
        <v>1</v>
      </c>
      <c r="M38" s="124" t="str">
        <f t="shared" si="10"/>
        <v>Kot d'Ivuar</v>
      </c>
      <c r="N38" s="125" t="str">
        <f t="shared" si="11"/>
        <v>C guruhi</v>
      </c>
      <c r="O38" s="133">
        <f t="shared" si="12"/>
        <v>38878</v>
      </c>
      <c r="P38" s="127">
        <f t="shared" si="13"/>
        <v>2006</v>
      </c>
    </row>
    <row r="39" spans="1:16" x14ac:dyDescent="0.25">
      <c r="A39" s="132">
        <v>18</v>
      </c>
      <c r="B39" s="122" t="str">
        <f t="shared" si="0"/>
        <v>Argentina</v>
      </c>
      <c r="C39" s="123">
        <f t="shared" si="1"/>
        <v>2</v>
      </c>
      <c r="D39" s="123">
        <f t="shared" si="2"/>
        <v>2</v>
      </c>
      <c r="E39" s="124" t="str">
        <f t="shared" si="3"/>
        <v>Angliya</v>
      </c>
      <c r="F39" s="125" t="str">
        <f t="shared" si="4"/>
        <v>nimchorak</v>
      </c>
      <c r="G39" s="133">
        <f t="shared" si="5"/>
        <v>35976</v>
      </c>
      <c r="H39" s="127">
        <f t="shared" si="6"/>
        <v>1998</v>
      </c>
      <c r="J39" s="122" t="str">
        <f t="shared" si="7"/>
        <v>Argentina</v>
      </c>
      <c r="K39" s="123">
        <f t="shared" si="8"/>
        <v>1</v>
      </c>
      <c r="L39" s="123">
        <f t="shared" si="9"/>
        <v>1</v>
      </c>
      <c r="M39" s="124" t="str">
        <f t="shared" si="10"/>
        <v>Shvetsiya</v>
      </c>
      <c r="N39" s="125" t="str">
        <f t="shared" si="11"/>
        <v>F guruhi</v>
      </c>
      <c r="O39" s="133">
        <f t="shared" si="12"/>
        <v>37419</v>
      </c>
      <c r="P39" s="127">
        <f t="shared" si="13"/>
        <v>2002</v>
      </c>
    </row>
    <row r="40" spans="1:16" x14ac:dyDescent="0.25">
      <c r="A40" s="132">
        <v>19</v>
      </c>
      <c r="B40" s="122" t="str">
        <f t="shared" si="0"/>
        <v>Kolumbiya</v>
      </c>
      <c r="C40" s="123">
        <f t="shared" si="1"/>
        <v>2</v>
      </c>
      <c r="D40" s="123">
        <f t="shared" si="2"/>
        <v>0</v>
      </c>
      <c r="E40" s="124" t="str">
        <f t="shared" si="3"/>
        <v>Angliya</v>
      </c>
      <c r="F40" s="125" t="str">
        <f t="shared" si="4"/>
        <v>G guruhi</v>
      </c>
      <c r="G40" s="133">
        <f t="shared" si="5"/>
        <v>35972</v>
      </c>
      <c r="H40" s="127">
        <f t="shared" si="6"/>
        <v>1998</v>
      </c>
      <c r="J40" s="122" t="str">
        <f t="shared" si="7"/>
        <v>Argentina</v>
      </c>
      <c r="K40" s="123">
        <f t="shared" si="8"/>
        <v>0</v>
      </c>
      <c r="L40" s="123">
        <f t="shared" si="9"/>
        <v>1</v>
      </c>
      <c r="M40" s="124" t="str">
        <f t="shared" si="10"/>
        <v>Angliya</v>
      </c>
      <c r="N40" s="125" t="str">
        <f t="shared" si="11"/>
        <v>F guruhi</v>
      </c>
      <c r="O40" s="133">
        <f t="shared" si="12"/>
        <v>37414</v>
      </c>
      <c r="P40" s="127">
        <f t="shared" si="13"/>
        <v>2002</v>
      </c>
    </row>
    <row r="41" spans="1:16" x14ac:dyDescent="0.25">
      <c r="A41" s="132">
        <v>20</v>
      </c>
      <c r="B41" s="122" t="str">
        <f t="shared" si="0"/>
        <v>Angliya</v>
      </c>
      <c r="C41" s="123">
        <f t="shared" si="1"/>
        <v>1</v>
      </c>
      <c r="D41" s="123">
        <f t="shared" si="2"/>
        <v>2</v>
      </c>
      <c r="E41" s="124" t="str">
        <f t="shared" si="3"/>
        <v>Ruminiya</v>
      </c>
      <c r="F41" s="125" t="str">
        <f t="shared" si="4"/>
        <v>G guruhi</v>
      </c>
      <c r="G41" s="133">
        <f t="shared" si="5"/>
        <v>35968</v>
      </c>
      <c r="H41" s="127">
        <f t="shared" si="6"/>
        <v>1998</v>
      </c>
      <c r="J41" s="122" t="str">
        <f t="shared" si="7"/>
        <v>Argentina</v>
      </c>
      <c r="K41" s="123">
        <f t="shared" si="8"/>
        <v>1</v>
      </c>
      <c r="L41" s="123">
        <f t="shared" si="9"/>
        <v>0</v>
      </c>
      <c r="M41" s="124" t="str">
        <f t="shared" si="10"/>
        <v>Nigeriya</v>
      </c>
      <c r="N41" s="125" t="str">
        <f t="shared" si="11"/>
        <v>F guruhi</v>
      </c>
      <c r="O41" s="133">
        <f t="shared" si="12"/>
        <v>37409</v>
      </c>
      <c r="P41" s="127">
        <f t="shared" si="13"/>
        <v>2002</v>
      </c>
    </row>
    <row r="42" spans="1:16" x14ac:dyDescent="0.25">
      <c r="A42" s="132">
        <v>21</v>
      </c>
      <c r="B42" s="122" t="str">
        <f t="shared" si="0"/>
        <v>Angliya</v>
      </c>
      <c r="C42" s="123">
        <f t="shared" si="1"/>
        <v>2</v>
      </c>
      <c r="D42" s="123">
        <f t="shared" si="2"/>
        <v>0</v>
      </c>
      <c r="E42" s="124" t="str">
        <f t="shared" si="3"/>
        <v>Tunis</v>
      </c>
      <c r="F42" s="125" t="str">
        <f t="shared" si="4"/>
        <v>G guruhi</v>
      </c>
      <c r="G42" s="133">
        <f t="shared" si="5"/>
        <v>35961</v>
      </c>
      <c r="H42" s="127">
        <f t="shared" si="6"/>
        <v>1998</v>
      </c>
      <c r="J42" s="122" t="str">
        <f t="shared" si="7"/>
        <v>Argentina</v>
      </c>
      <c r="K42" s="123">
        <f t="shared" si="8"/>
        <v>1</v>
      </c>
      <c r="L42" s="123">
        <f t="shared" si="9"/>
        <v>2</v>
      </c>
      <c r="M42" s="124" t="str">
        <f t="shared" si="10"/>
        <v>Nederlandiya</v>
      </c>
      <c r="N42" s="125" t="str">
        <f t="shared" si="11"/>
        <v>chorak final</v>
      </c>
      <c r="O42" s="133">
        <f t="shared" si="12"/>
        <v>35980</v>
      </c>
      <c r="P42" s="127">
        <f t="shared" si="13"/>
        <v>1998</v>
      </c>
    </row>
    <row r="43" spans="1:16" x14ac:dyDescent="0.25">
      <c r="A43" s="132">
        <v>22</v>
      </c>
      <c r="B43" s="122" t="str">
        <f t="shared" si="0"/>
        <v>Angliya</v>
      </c>
      <c r="C43" s="123">
        <f t="shared" si="1"/>
        <v>1</v>
      </c>
      <c r="D43" s="123">
        <f t="shared" si="2"/>
        <v>2</v>
      </c>
      <c r="E43" s="124" t="str">
        <f t="shared" si="3"/>
        <v>Italiya</v>
      </c>
      <c r="F43" s="125" t="str">
        <f t="shared" si="4"/>
        <v>3-o'rin</v>
      </c>
      <c r="G43" s="133">
        <f t="shared" si="5"/>
        <v>33061</v>
      </c>
      <c r="H43" s="127">
        <f t="shared" si="6"/>
        <v>1990</v>
      </c>
      <c r="J43" s="122" t="str">
        <f t="shared" si="7"/>
        <v>Argentina</v>
      </c>
      <c r="K43" s="123">
        <f t="shared" si="8"/>
        <v>2</v>
      </c>
      <c r="L43" s="123">
        <f t="shared" si="9"/>
        <v>2</v>
      </c>
      <c r="M43" s="124" t="str">
        <f t="shared" si="10"/>
        <v>Angliya</v>
      </c>
      <c r="N43" s="125" t="str">
        <f t="shared" si="11"/>
        <v>nimchorak</v>
      </c>
      <c r="O43" s="133">
        <f t="shared" si="12"/>
        <v>35976</v>
      </c>
      <c r="P43" s="127">
        <f t="shared" si="13"/>
        <v>1998</v>
      </c>
    </row>
    <row r="44" spans="1:16" x14ac:dyDescent="0.25">
      <c r="A44" s="132">
        <v>23</v>
      </c>
      <c r="B44" s="122" t="str">
        <f t="shared" si="0"/>
        <v>Angliya</v>
      </c>
      <c r="C44" s="123">
        <f t="shared" si="1"/>
        <v>1</v>
      </c>
      <c r="D44" s="123">
        <f t="shared" si="2"/>
        <v>1</v>
      </c>
      <c r="E44" s="124" t="str">
        <f t="shared" si="3"/>
        <v>Germaniya</v>
      </c>
      <c r="F44" s="125" t="str">
        <f t="shared" si="4"/>
        <v>yarim final</v>
      </c>
      <c r="G44" s="133">
        <f t="shared" si="5"/>
        <v>33058</v>
      </c>
      <c r="H44" s="127">
        <f t="shared" si="6"/>
        <v>1990</v>
      </c>
      <c r="J44" s="122" t="str">
        <f t="shared" si="7"/>
        <v>Argentina</v>
      </c>
      <c r="K44" s="123">
        <f t="shared" si="8"/>
        <v>1</v>
      </c>
      <c r="L44" s="123">
        <f t="shared" si="9"/>
        <v>0</v>
      </c>
      <c r="M44" s="124" t="str">
        <f t="shared" si="10"/>
        <v>Xorvatiya</v>
      </c>
      <c r="N44" s="125" t="str">
        <f t="shared" si="11"/>
        <v>H guruhi</v>
      </c>
      <c r="O44" s="133">
        <f t="shared" si="12"/>
        <v>35972</v>
      </c>
      <c r="P44" s="127">
        <f t="shared" si="13"/>
        <v>1998</v>
      </c>
    </row>
    <row r="45" spans="1:16" x14ac:dyDescent="0.25">
      <c r="A45" s="132">
        <v>24</v>
      </c>
      <c r="B45" s="122" t="str">
        <f t="shared" si="0"/>
        <v>Kamerun</v>
      </c>
      <c r="C45" s="123">
        <f t="shared" si="1"/>
        <v>2</v>
      </c>
      <c r="D45" s="123">
        <f t="shared" si="2"/>
        <v>3</v>
      </c>
      <c r="E45" s="124" t="str">
        <f t="shared" si="3"/>
        <v>Angliya</v>
      </c>
      <c r="F45" s="125" t="str">
        <f t="shared" si="4"/>
        <v>chorak final</v>
      </c>
      <c r="G45" s="133">
        <f t="shared" si="5"/>
        <v>33055</v>
      </c>
      <c r="H45" s="127">
        <f t="shared" si="6"/>
        <v>1990</v>
      </c>
      <c r="J45" s="122" t="str">
        <f t="shared" si="7"/>
        <v>Argentina</v>
      </c>
      <c r="K45" s="123">
        <f t="shared" si="8"/>
        <v>5</v>
      </c>
      <c r="L45" s="123">
        <f t="shared" si="9"/>
        <v>0</v>
      </c>
      <c r="M45" s="124" t="str">
        <f t="shared" si="10"/>
        <v>Yamayka</v>
      </c>
      <c r="N45" s="125" t="str">
        <f t="shared" si="11"/>
        <v>H guruhi</v>
      </c>
      <c r="O45" s="133">
        <f t="shared" si="12"/>
        <v>35967</v>
      </c>
      <c r="P45" s="127">
        <f t="shared" si="13"/>
        <v>1998</v>
      </c>
    </row>
    <row r="46" spans="1:16" x14ac:dyDescent="0.25">
      <c r="A46" s="132">
        <v>25</v>
      </c>
      <c r="B46" s="122" t="str">
        <f t="shared" si="0"/>
        <v>Belgiya</v>
      </c>
      <c r="C46" s="123">
        <f t="shared" si="1"/>
        <v>0</v>
      </c>
      <c r="D46" s="123">
        <f t="shared" si="2"/>
        <v>1</v>
      </c>
      <c r="E46" s="124" t="str">
        <f t="shared" si="3"/>
        <v>Angliya</v>
      </c>
      <c r="F46" s="125" t="str">
        <f t="shared" si="4"/>
        <v>nimchorak</v>
      </c>
      <c r="G46" s="133">
        <f t="shared" si="5"/>
        <v>33050</v>
      </c>
      <c r="H46" s="127">
        <f t="shared" si="6"/>
        <v>1990</v>
      </c>
      <c r="J46" s="122" t="str">
        <f t="shared" si="7"/>
        <v>Argentina</v>
      </c>
      <c r="K46" s="123">
        <f t="shared" si="8"/>
        <v>1</v>
      </c>
      <c r="L46" s="123">
        <f t="shared" si="9"/>
        <v>0</v>
      </c>
      <c r="M46" s="124" t="str">
        <f t="shared" si="10"/>
        <v>Yaponiya</v>
      </c>
      <c r="N46" s="125" t="str">
        <f t="shared" si="11"/>
        <v>H guruhi</v>
      </c>
      <c r="O46" s="133">
        <f t="shared" si="12"/>
        <v>35960</v>
      </c>
      <c r="P46" s="127">
        <f t="shared" si="13"/>
        <v>1998</v>
      </c>
    </row>
    <row r="47" spans="1:16" x14ac:dyDescent="0.25">
      <c r="A47" s="132">
        <v>26</v>
      </c>
      <c r="B47" s="122" t="str">
        <f t="shared" si="0"/>
        <v>Misr</v>
      </c>
      <c r="C47" s="123">
        <f t="shared" si="1"/>
        <v>0</v>
      </c>
      <c r="D47" s="123">
        <f t="shared" si="2"/>
        <v>1</v>
      </c>
      <c r="E47" s="124" t="str">
        <f t="shared" si="3"/>
        <v>Angliya</v>
      </c>
      <c r="F47" s="125" t="str">
        <f t="shared" si="4"/>
        <v>F guruhi</v>
      </c>
      <c r="G47" s="133">
        <f t="shared" si="5"/>
        <v>33045</v>
      </c>
      <c r="H47" s="127">
        <f t="shared" si="6"/>
        <v>1990</v>
      </c>
      <c r="J47" s="122" t="str">
        <f t="shared" si="7"/>
        <v>Argentina</v>
      </c>
      <c r="K47" s="123">
        <f t="shared" si="8"/>
        <v>2</v>
      </c>
      <c r="L47" s="123">
        <f t="shared" si="9"/>
        <v>3</v>
      </c>
      <c r="M47" s="124" t="str">
        <f t="shared" si="10"/>
        <v>Ruminiya</v>
      </c>
      <c r="N47" s="125" t="str">
        <f t="shared" si="11"/>
        <v>nimchorak</v>
      </c>
      <c r="O47" s="133">
        <f t="shared" si="12"/>
        <v>34518</v>
      </c>
      <c r="P47" s="127">
        <f t="shared" si="13"/>
        <v>1994</v>
      </c>
    </row>
    <row r="48" spans="1:16" x14ac:dyDescent="0.25">
      <c r="A48" s="132">
        <v>27</v>
      </c>
      <c r="B48" s="122" t="str">
        <f t="shared" si="0"/>
        <v>Angliya</v>
      </c>
      <c r="C48" s="123">
        <f t="shared" si="1"/>
        <v>0</v>
      </c>
      <c r="D48" s="123">
        <f t="shared" si="2"/>
        <v>0</v>
      </c>
      <c r="E48" s="124" t="str">
        <f t="shared" si="3"/>
        <v>Nederlandiya</v>
      </c>
      <c r="F48" s="125" t="str">
        <f t="shared" si="4"/>
        <v>F guruhi</v>
      </c>
      <c r="G48" s="133">
        <f t="shared" si="5"/>
        <v>33040</v>
      </c>
      <c r="H48" s="127">
        <f t="shared" si="6"/>
        <v>1990</v>
      </c>
      <c r="J48" s="122" t="str">
        <f t="shared" si="7"/>
        <v>Argentina</v>
      </c>
      <c r="K48" s="123">
        <f t="shared" si="8"/>
        <v>0</v>
      </c>
      <c r="L48" s="123">
        <f t="shared" si="9"/>
        <v>2</v>
      </c>
      <c r="M48" s="124" t="str">
        <f t="shared" si="10"/>
        <v>Bolgariya</v>
      </c>
      <c r="N48" s="125" t="str">
        <f t="shared" si="11"/>
        <v>D guruhi</v>
      </c>
      <c r="O48" s="133">
        <f t="shared" si="12"/>
        <v>34515</v>
      </c>
      <c r="P48" s="127">
        <f t="shared" si="13"/>
        <v>1994</v>
      </c>
    </row>
    <row r="49" spans="1:16" x14ac:dyDescent="0.25">
      <c r="A49" s="132">
        <v>28</v>
      </c>
      <c r="B49" s="122" t="str">
        <f t="shared" si="0"/>
        <v>Angliya</v>
      </c>
      <c r="C49" s="123">
        <f t="shared" si="1"/>
        <v>1</v>
      </c>
      <c r="D49" s="123">
        <f t="shared" si="2"/>
        <v>1</v>
      </c>
      <c r="E49" s="124" t="str">
        <f t="shared" si="3"/>
        <v>Irlandiya</v>
      </c>
      <c r="F49" s="125" t="str">
        <f t="shared" si="4"/>
        <v>F guruhi</v>
      </c>
      <c r="G49" s="133">
        <f t="shared" si="5"/>
        <v>33035</v>
      </c>
      <c r="H49" s="127">
        <f t="shared" si="6"/>
        <v>1990</v>
      </c>
      <c r="J49" s="122" t="str">
        <f t="shared" si="7"/>
        <v>Argentina</v>
      </c>
      <c r="K49" s="123">
        <f t="shared" si="8"/>
        <v>2</v>
      </c>
      <c r="L49" s="123">
        <f t="shared" si="9"/>
        <v>1</v>
      </c>
      <c r="M49" s="124" t="str">
        <f t="shared" si="10"/>
        <v>Nigeriya</v>
      </c>
      <c r="N49" s="125" t="str">
        <f t="shared" si="11"/>
        <v>D guruhi</v>
      </c>
      <c r="O49" s="133">
        <f t="shared" si="12"/>
        <v>34510</v>
      </c>
      <c r="P49" s="127">
        <f t="shared" si="13"/>
        <v>1994</v>
      </c>
    </row>
    <row r="50" spans="1:16" x14ac:dyDescent="0.25">
      <c r="A50" s="132">
        <v>29</v>
      </c>
      <c r="B50" s="122" t="str">
        <f t="shared" si="0"/>
        <v>Argentina</v>
      </c>
      <c r="C50" s="123">
        <f t="shared" si="1"/>
        <v>2</v>
      </c>
      <c r="D50" s="123">
        <f t="shared" si="2"/>
        <v>1</v>
      </c>
      <c r="E50" s="124" t="str">
        <f t="shared" si="3"/>
        <v>Angliya</v>
      </c>
      <c r="F50" s="125" t="str">
        <f t="shared" si="4"/>
        <v>chorak final</v>
      </c>
      <c r="G50" s="133">
        <f t="shared" si="5"/>
        <v>31585</v>
      </c>
      <c r="H50" s="127">
        <f t="shared" si="6"/>
        <v>1986</v>
      </c>
      <c r="J50" s="122" t="str">
        <f t="shared" si="7"/>
        <v>Argentina</v>
      </c>
      <c r="K50" s="123">
        <f t="shared" si="8"/>
        <v>4</v>
      </c>
      <c r="L50" s="123">
        <f t="shared" si="9"/>
        <v>0</v>
      </c>
      <c r="M50" s="124" t="str">
        <f t="shared" si="10"/>
        <v>Gretsiya</v>
      </c>
      <c r="N50" s="125" t="str">
        <f t="shared" si="11"/>
        <v>D guruhi</v>
      </c>
      <c r="O50" s="133">
        <f t="shared" si="12"/>
        <v>34506</v>
      </c>
      <c r="P50" s="127">
        <f t="shared" si="13"/>
        <v>1994</v>
      </c>
    </row>
    <row r="51" spans="1:16" x14ac:dyDescent="0.25">
      <c r="A51" s="132">
        <v>30</v>
      </c>
      <c r="B51" s="122" t="str">
        <f t="shared" si="0"/>
        <v>Angliya</v>
      </c>
      <c r="C51" s="123">
        <f t="shared" si="1"/>
        <v>3</v>
      </c>
      <c r="D51" s="123">
        <f t="shared" si="2"/>
        <v>0</v>
      </c>
      <c r="E51" s="124" t="str">
        <f t="shared" si="3"/>
        <v>Paragvay</v>
      </c>
      <c r="F51" s="125" t="str">
        <f t="shared" si="4"/>
        <v>nimchorak</v>
      </c>
      <c r="G51" s="133">
        <f t="shared" si="5"/>
        <v>31581</v>
      </c>
      <c r="H51" s="127">
        <f t="shared" si="6"/>
        <v>1986</v>
      </c>
      <c r="J51" s="122" t="str">
        <f t="shared" si="7"/>
        <v>Argentina</v>
      </c>
      <c r="K51" s="123">
        <f t="shared" si="8"/>
        <v>0</v>
      </c>
      <c r="L51" s="123">
        <f t="shared" si="9"/>
        <v>1</v>
      </c>
      <c r="M51" s="124" t="str">
        <f t="shared" si="10"/>
        <v>Germaniya</v>
      </c>
      <c r="N51" s="125" t="str">
        <f t="shared" si="11"/>
        <v>final</v>
      </c>
      <c r="O51" s="133">
        <f t="shared" si="12"/>
        <v>33062</v>
      </c>
      <c r="P51" s="127">
        <f t="shared" si="13"/>
        <v>1990</v>
      </c>
    </row>
    <row r="52" spans="1:16" x14ac:dyDescent="0.25">
      <c r="A52" s="132">
        <v>31</v>
      </c>
      <c r="B52" s="122" t="str">
        <f t="shared" si="0"/>
        <v>Angliya</v>
      </c>
      <c r="C52" s="123">
        <f t="shared" si="1"/>
        <v>3</v>
      </c>
      <c r="D52" s="123">
        <f t="shared" si="2"/>
        <v>0</v>
      </c>
      <c r="E52" s="124" t="str">
        <f t="shared" si="3"/>
        <v>Polsha</v>
      </c>
      <c r="F52" s="125" t="str">
        <f t="shared" si="4"/>
        <v>F guruhi</v>
      </c>
      <c r="G52" s="133">
        <f t="shared" si="5"/>
        <v>31574</v>
      </c>
      <c r="H52" s="127">
        <f t="shared" si="6"/>
        <v>1986</v>
      </c>
      <c r="J52" s="122" t="str">
        <f t="shared" si="7"/>
        <v>Argentina</v>
      </c>
      <c r="K52" s="123">
        <f t="shared" si="8"/>
        <v>1</v>
      </c>
      <c r="L52" s="123">
        <f t="shared" si="9"/>
        <v>1</v>
      </c>
      <c r="M52" s="124" t="str">
        <f t="shared" si="10"/>
        <v>Italiya</v>
      </c>
      <c r="N52" s="125" t="str">
        <f t="shared" si="11"/>
        <v>yarim final</v>
      </c>
      <c r="O52" s="133">
        <f t="shared" si="12"/>
        <v>33057</v>
      </c>
      <c r="P52" s="127">
        <f t="shared" si="13"/>
        <v>1990</v>
      </c>
    </row>
    <row r="53" spans="1:16" x14ac:dyDescent="0.25">
      <c r="A53" s="132">
        <v>32</v>
      </c>
      <c r="B53" s="122" t="str">
        <f t="shared" si="0"/>
        <v>Angliya</v>
      </c>
      <c r="C53" s="123">
        <f t="shared" si="1"/>
        <v>0</v>
      </c>
      <c r="D53" s="123">
        <f t="shared" si="2"/>
        <v>0</v>
      </c>
      <c r="E53" s="124" t="str">
        <f t="shared" si="3"/>
        <v>Marokash</v>
      </c>
      <c r="F53" s="125" t="str">
        <f t="shared" si="4"/>
        <v>F guruhi</v>
      </c>
      <c r="G53" s="133">
        <f t="shared" si="5"/>
        <v>31569</v>
      </c>
      <c r="H53" s="127">
        <f t="shared" si="6"/>
        <v>1986</v>
      </c>
      <c r="J53" s="122" t="str">
        <f t="shared" si="7"/>
        <v>Argentina</v>
      </c>
      <c r="K53" s="123">
        <f t="shared" si="8"/>
        <v>0</v>
      </c>
      <c r="L53" s="123">
        <f t="shared" si="9"/>
        <v>0</v>
      </c>
      <c r="M53" s="124" t="str">
        <f t="shared" si="10"/>
        <v>Yugoslavia</v>
      </c>
      <c r="N53" s="125" t="str">
        <f t="shared" si="11"/>
        <v>chorak final</v>
      </c>
      <c r="O53" s="133">
        <f t="shared" si="12"/>
        <v>33054</v>
      </c>
      <c r="P53" s="127">
        <f t="shared" si="13"/>
        <v>1990</v>
      </c>
    </row>
    <row r="54" spans="1:16" x14ac:dyDescent="0.25">
      <c r="A54" s="132">
        <v>33</v>
      </c>
      <c r="B54" s="122" t="str">
        <f t="shared" ref="B54:B85" si="14">IFERROR(VLOOKUP($A54,db_t1,8,FALSE),"")</f>
        <v>Angliya</v>
      </c>
      <c r="C54" s="123">
        <f t="shared" ref="C54:C85" si="15">IFERROR(VLOOKUP($A54,db_t1,9,FALSE),"")</f>
        <v>0</v>
      </c>
      <c r="D54" s="123">
        <f t="shared" ref="D54:D85" si="16">IFERROR(VLOOKUP($A54,db_t1,10,FALSE),"")</f>
        <v>1</v>
      </c>
      <c r="E54" s="124" t="str">
        <f t="shared" ref="E54:E85" si="17">IFERROR(VLOOKUP($A54,db_t1,11,FALSE),"")</f>
        <v>Portugaliya</v>
      </c>
      <c r="F54" s="125" t="str">
        <f t="shared" ref="F54:F85" si="18">IFERROR(VLOOKUP($A54,db_t1,6,FALSE),"")</f>
        <v>F guruhi</v>
      </c>
      <c r="G54" s="133">
        <f t="shared" ref="G54:G85" si="19">IFERROR(VLOOKUP($A54,db_t1,4,FALSE),"")</f>
        <v>31566</v>
      </c>
      <c r="H54" s="127">
        <f t="shared" ref="H54:H85" si="20">IFERROR(VLOOKUP($A54,db_t1,5,FALSE),"")</f>
        <v>1986</v>
      </c>
      <c r="J54" s="122" t="str">
        <f t="shared" ref="J54:J85" si="21">IFERROR(VLOOKUP($A54,db_t2,7,FALSE),"")</f>
        <v>Argentina</v>
      </c>
      <c r="K54" s="123">
        <f t="shared" ref="K54:K85" si="22">IFERROR(VLOOKUP($A54,db_t2,8,FALSE),"")</f>
        <v>1</v>
      </c>
      <c r="L54" s="123">
        <f t="shared" ref="L54:L85" si="23">IFERROR(VLOOKUP($A54,db_t2,9,FALSE),"")</f>
        <v>0</v>
      </c>
      <c r="M54" s="124" t="str">
        <f t="shared" ref="M54:M85" si="24">IFERROR(VLOOKUP($A54,db_t2,10,FALSE),"")</f>
        <v>Braziliya</v>
      </c>
      <c r="N54" s="125" t="str">
        <f t="shared" ref="N54:N85" si="25">IFERROR(VLOOKUP($A54,db_t2,5,FALSE),"")</f>
        <v>nimchorak</v>
      </c>
      <c r="O54" s="133">
        <f t="shared" ref="O54:O85" si="26">IFERROR(VLOOKUP($A54,db_t2,3,FALSE),"")</f>
        <v>33048</v>
      </c>
      <c r="P54" s="127">
        <f t="shared" ref="P54:P85" si="27">IFERROR(VLOOKUP($A54,db_t2,4,FALSE),"")</f>
        <v>1990</v>
      </c>
    </row>
    <row r="55" spans="1:16" x14ac:dyDescent="0.25">
      <c r="A55" s="132">
        <v>34</v>
      </c>
      <c r="B55" s="122" t="str">
        <f t="shared" si="14"/>
        <v>Angliya</v>
      </c>
      <c r="C55" s="123">
        <f t="shared" si="15"/>
        <v>0</v>
      </c>
      <c r="D55" s="123">
        <f t="shared" si="16"/>
        <v>0</v>
      </c>
      <c r="E55" s="124" t="str">
        <f t="shared" si="17"/>
        <v>Ispaniya</v>
      </c>
      <c r="F55" s="125" t="str">
        <f t="shared" si="18"/>
        <v>B guruhi</v>
      </c>
      <c r="G55" s="133">
        <f t="shared" si="19"/>
        <v>30137</v>
      </c>
      <c r="H55" s="127">
        <f t="shared" si="20"/>
        <v>1982</v>
      </c>
      <c r="J55" s="122" t="str">
        <f t="shared" si="21"/>
        <v>Argentina</v>
      </c>
      <c r="K55" s="123">
        <f t="shared" si="22"/>
        <v>1</v>
      </c>
      <c r="L55" s="123">
        <f t="shared" si="23"/>
        <v>1</v>
      </c>
      <c r="M55" s="124" t="str">
        <f t="shared" si="24"/>
        <v>Ruminiya</v>
      </c>
      <c r="N55" s="125" t="str">
        <f t="shared" si="25"/>
        <v>B guruhi</v>
      </c>
      <c r="O55" s="133">
        <f t="shared" si="26"/>
        <v>33042</v>
      </c>
      <c r="P55" s="127">
        <f t="shared" si="27"/>
        <v>1990</v>
      </c>
    </row>
    <row r="56" spans="1:16" x14ac:dyDescent="0.25">
      <c r="A56" s="132">
        <v>35</v>
      </c>
      <c r="B56" s="122" t="str">
        <f t="shared" si="14"/>
        <v>Angliya</v>
      </c>
      <c r="C56" s="123">
        <f t="shared" si="15"/>
        <v>0</v>
      </c>
      <c r="D56" s="123">
        <f t="shared" si="16"/>
        <v>0</v>
      </c>
      <c r="E56" s="124" t="str">
        <f t="shared" si="17"/>
        <v>Germaniya</v>
      </c>
      <c r="F56" s="125" t="str">
        <f t="shared" si="18"/>
        <v>B guruhi</v>
      </c>
      <c r="G56" s="133">
        <f t="shared" si="19"/>
        <v>30131</v>
      </c>
      <c r="H56" s="127">
        <f t="shared" si="20"/>
        <v>1982</v>
      </c>
      <c r="J56" s="122" t="str">
        <f t="shared" si="21"/>
        <v>Argentina</v>
      </c>
      <c r="K56" s="123">
        <f t="shared" si="22"/>
        <v>2</v>
      </c>
      <c r="L56" s="123">
        <f t="shared" si="23"/>
        <v>0</v>
      </c>
      <c r="M56" s="124" t="str">
        <f t="shared" si="24"/>
        <v>SSSR</v>
      </c>
      <c r="N56" s="125" t="str">
        <f t="shared" si="25"/>
        <v>B guruhi</v>
      </c>
      <c r="O56" s="133">
        <f t="shared" si="26"/>
        <v>33037</v>
      </c>
      <c r="P56" s="127">
        <f t="shared" si="27"/>
        <v>1990</v>
      </c>
    </row>
    <row r="57" spans="1:16" x14ac:dyDescent="0.25">
      <c r="A57" s="132">
        <v>36</v>
      </c>
      <c r="B57" s="122" t="str">
        <f t="shared" si="14"/>
        <v>Angliya</v>
      </c>
      <c r="C57" s="123">
        <f t="shared" si="15"/>
        <v>1</v>
      </c>
      <c r="D57" s="123">
        <f t="shared" si="16"/>
        <v>0</v>
      </c>
      <c r="E57" s="124" t="str">
        <f t="shared" si="17"/>
        <v>Kuwait</v>
      </c>
      <c r="F57" s="125" t="str">
        <f t="shared" si="18"/>
        <v>4-guruh</v>
      </c>
      <c r="G57" s="133">
        <f t="shared" si="19"/>
        <v>30127</v>
      </c>
      <c r="H57" s="127">
        <f t="shared" si="20"/>
        <v>1982</v>
      </c>
      <c r="J57" s="122" t="str">
        <f t="shared" si="21"/>
        <v>Argentina</v>
      </c>
      <c r="K57" s="123">
        <f t="shared" si="22"/>
        <v>0</v>
      </c>
      <c r="L57" s="123">
        <f t="shared" si="23"/>
        <v>1</v>
      </c>
      <c r="M57" s="124" t="str">
        <f t="shared" si="24"/>
        <v>Kamerun</v>
      </c>
      <c r="N57" s="125" t="str">
        <f t="shared" si="25"/>
        <v>B guruhi</v>
      </c>
      <c r="O57" s="133">
        <f t="shared" si="26"/>
        <v>33032</v>
      </c>
      <c r="P57" s="127">
        <f t="shared" si="27"/>
        <v>1990</v>
      </c>
    </row>
    <row r="58" spans="1:16" x14ac:dyDescent="0.25">
      <c r="A58" s="132">
        <v>37</v>
      </c>
      <c r="B58" s="122" t="str">
        <f t="shared" si="14"/>
        <v>Chexslovakiya</v>
      </c>
      <c r="C58" s="123">
        <f t="shared" si="15"/>
        <v>0</v>
      </c>
      <c r="D58" s="123">
        <f t="shared" si="16"/>
        <v>2</v>
      </c>
      <c r="E58" s="124" t="str">
        <f t="shared" si="17"/>
        <v>Angliya</v>
      </c>
      <c r="F58" s="125" t="str">
        <f t="shared" si="18"/>
        <v>4-guruh</v>
      </c>
      <c r="G58" s="133">
        <f t="shared" si="19"/>
        <v>30122</v>
      </c>
      <c r="H58" s="127">
        <f t="shared" si="20"/>
        <v>1982</v>
      </c>
      <c r="J58" s="122" t="str">
        <f t="shared" si="21"/>
        <v>Argentina</v>
      </c>
      <c r="K58" s="123">
        <f t="shared" si="22"/>
        <v>3</v>
      </c>
      <c r="L58" s="123">
        <f t="shared" si="23"/>
        <v>2</v>
      </c>
      <c r="M58" s="124" t="str">
        <f t="shared" si="24"/>
        <v>Germaniya</v>
      </c>
      <c r="N58" s="125" t="str">
        <f t="shared" si="25"/>
        <v>final</v>
      </c>
      <c r="O58" s="133">
        <f t="shared" si="26"/>
        <v>31592</v>
      </c>
      <c r="P58" s="127">
        <f t="shared" si="27"/>
        <v>1986</v>
      </c>
    </row>
    <row r="59" spans="1:16" x14ac:dyDescent="0.25">
      <c r="A59" s="132">
        <v>38</v>
      </c>
      <c r="B59" s="122" t="str">
        <f t="shared" si="14"/>
        <v>Angliya</v>
      </c>
      <c r="C59" s="123">
        <f t="shared" si="15"/>
        <v>3</v>
      </c>
      <c r="D59" s="123">
        <f t="shared" si="16"/>
        <v>1</v>
      </c>
      <c r="E59" s="124" t="str">
        <f t="shared" si="17"/>
        <v>Fransiya</v>
      </c>
      <c r="F59" s="125" t="str">
        <f t="shared" si="18"/>
        <v>4-guruh</v>
      </c>
      <c r="G59" s="133">
        <f t="shared" si="19"/>
        <v>30118</v>
      </c>
      <c r="H59" s="127">
        <f t="shared" si="20"/>
        <v>1982</v>
      </c>
      <c r="J59" s="122" t="str">
        <f t="shared" si="21"/>
        <v>Argentina</v>
      </c>
      <c r="K59" s="123">
        <f t="shared" si="22"/>
        <v>2</v>
      </c>
      <c r="L59" s="123">
        <f t="shared" si="23"/>
        <v>0</v>
      </c>
      <c r="M59" s="124" t="str">
        <f t="shared" si="24"/>
        <v>Belgiya</v>
      </c>
      <c r="N59" s="125" t="str">
        <f t="shared" si="25"/>
        <v>yarim final</v>
      </c>
      <c r="O59" s="133">
        <f t="shared" si="26"/>
        <v>31588</v>
      </c>
      <c r="P59" s="127">
        <f t="shared" si="27"/>
        <v>1986</v>
      </c>
    </row>
    <row r="60" spans="1:16" x14ac:dyDescent="0.25">
      <c r="A60" s="132">
        <v>39</v>
      </c>
      <c r="B60" s="122" t="str">
        <f t="shared" si="14"/>
        <v>Angliya</v>
      </c>
      <c r="C60" s="123">
        <f t="shared" si="15"/>
        <v>2</v>
      </c>
      <c r="D60" s="123">
        <f t="shared" si="16"/>
        <v>3</v>
      </c>
      <c r="E60" s="124" t="str">
        <f t="shared" si="17"/>
        <v>Germaniya</v>
      </c>
      <c r="F60" s="125" t="str">
        <f t="shared" si="18"/>
        <v>chorak final</v>
      </c>
      <c r="G60" s="133">
        <f t="shared" si="19"/>
        <v>25733</v>
      </c>
      <c r="H60" s="127">
        <f t="shared" si="20"/>
        <v>1970</v>
      </c>
      <c r="J60" s="122" t="str">
        <f t="shared" si="21"/>
        <v>Argentina</v>
      </c>
      <c r="K60" s="123">
        <f t="shared" si="22"/>
        <v>2</v>
      </c>
      <c r="L60" s="123">
        <f t="shared" si="23"/>
        <v>1</v>
      </c>
      <c r="M60" s="124" t="str">
        <f t="shared" si="24"/>
        <v>Angliya</v>
      </c>
      <c r="N60" s="125" t="str">
        <f t="shared" si="25"/>
        <v>chorak final</v>
      </c>
      <c r="O60" s="133">
        <f t="shared" si="26"/>
        <v>31585</v>
      </c>
      <c r="P60" s="127">
        <f t="shared" si="27"/>
        <v>1986</v>
      </c>
    </row>
    <row r="61" spans="1:16" x14ac:dyDescent="0.25">
      <c r="A61" s="132">
        <v>40</v>
      </c>
      <c r="B61" s="122" t="str">
        <f t="shared" si="14"/>
        <v>Chexslovakiya</v>
      </c>
      <c r="C61" s="123">
        <f t="shared" si="15"/>
        <v>0</v>
      </c>
      <c r="D61" s="123">
        <f t="shared" si="16"/>
        <v>1</v>
      </c>
      <c r="E61" s="124" t="str">
        <f t="shared" si="17"/>
        <v>Angliya</v>
      </c>
      <c r="F61" s="125" t="str">
        <f t="shared" si="18"/>
        <v>3-guruh</v>
      </c>
      <c r="G61" s="133">
        <f t="shared" si="19"/>
        <v>25730</v>
      </c>
      <c r="H61" s="127">
        <f t="shared" si="20"/>
        <v>1970</v>
      </c>
      <c r="J61" s="122" t="str">
        <f t="shared" si="21"/>
        <v>Argentina</v>
      </c>
      <c r="K61" s="123">
        <f t="shared" si="22"/>
        <v>1</v>
      </c>
      <c r="L61" s="123">
        <f t="shared" si="23"/>
        <v>0</v>
      </c>
      <c r="M61" s="124" t="str">
        <f t="shared" si="24"/>
        <v>Urugvay</v>
      </c>
      <c r="N61" s="125" t="str">
        <f t="shared" si="25"/>
        <v>nimchorak</v>
      </c>
      <c r="O61" s="133">
        <f t="shared" si="26"/>
        <v>31579</v>
      </c>
      <c r="P61" s="127">
        <f t="shared" si="27"/>
        <v>1986</v>
      </c>
    </row>
    <row r="62" spans="1:16" x14ac:dyDescent="0.25">
      <c r="A62" s="132">
        <v>41</v>
      </c>
      <c r="B62" s="122" t="str">
        <f t="shared" si="14"/>
        <v>Braziliya</v>
      </c>
      <c r="C62" s="123">
        <f t="shared" si="15"/>
        <v>1</v>
      </c>
      <c r="D62" s="123">
        <f t="shared" si="16"/>
        <v>0</v>
      </c>
      <c r="E62" s="124" t="str">
        <f t="shared" si="17"/>
        <v>Angliya</v>
      </c>
      <c r="F62" s="125" t="str">
        <f t="shared" si="18"/>
        <v>3-guruh</v>
      </c>
      <c r="G62" s="133">
        <f t="shared" si="19"/>
        <v>25726</v>
      </c>
      <c r="H62" s="127">
        <f t="shared" si="20"/>
        <v>1970</v>
      </c>
      <c r="J62" s="122" t="str">
        <f t="shared" si="21"/>
        <v>Argentina</v>
      </c>
      <c r="K62" s="123">
        <f t="shared" si="22"/>
        <v>2</v>
      </c>
      <c r="L62" s="123">
        <f t="shared" si="23"/>
        <v>0</v>
      </c>
      <c r="M62" s="124" t="str">
        <f t="shared" si="24"/>
        <v>Bolgariya</v>
      </c>
      <c r="N62" s="125" t="str">
        <f t="shared" si="25"/>
        <v>A guruhi</v>
      </c>
      <c r="O62" s="133">
        <f t="shared" si="26"/>
        <v>31573</v>
      </c>
      <c r="P62" s="127">
        <f t="shared" si="27"/>
        <v>1986</v>
      </c>
    </row>
    <row r="63" spans="1:16" x14ac:dyDescent="0.25">
      <c r="A63" s="132">
        <v>42</v>
      </c>
      <c r="B63" s="122" t="str">
        <f t="shared" si="14"/>
        <v>Angliya</v>
      </c>
      <c r="C63" s="123">
        <f t="shared" si="15"/>
        <v>1</v>
      </c>
      <c r="D63" s="123">
        <f t="shared" si="16"/>
        <v>0</v>
      </c>
      <c r="E63" s="124" t="str">
        <f t="shared" si="17"/>
        <v>Ruminiya</v>
      </c>
      <c r="F63" s="125" t="str">
        <f t="shared" si="18"/>
        <v>3-guruh</v>
      </c>
      <c r="G63" s="133">
        <f t="shared" si="19"/>
        <v>25721</v>
      </c>
      <c r="H63" s="127">
        <f t="shared" si="20"/>
        <v>1970</v>
      </c>
      <c r="J63" s="122" t="str">
        <f t="shared" si="21"/>
        <v>Argentina</v>
      </c>
      <c r="K63" s="123">
        <f t="shared" si="22"/>
        <v>1</v>
      </c>
      <c r="L63" s="123">
        <f t="shared" si="23"/>
        <v>1</v>
      </c>
      <c r="M63" s="124" t="str">
        <f t="shared" si="24"/>
        <v>Italiya</v>
      </c>
      <c r="N63" s="125" t="str">
        <f t="shared" si="25"/>
        <v>A guruhi</v>
      </c>
      <c r="O63" s="133">
        <f t="shared" si="26"/>
        <v>31568</v>
      </c>
      <c r="P63" s="127">
        <f t="shared" si="27"/>
        <v>1986</v>
      </c>
    </row>
    <row r="64" spans="1:16" x14ac:dyDescent="0.25">
      <c r="A64" s="132">
        <v>43</v>
      </c>
      <c r="B64" s="122" t="str">
        <f t="shared" si="14"/>
        <v>Angliya</v>
      </c>
      <c r="C64" s="123">
        <f t="shared" si="15"/>
        <v>4</v>
      </c>
      <c r="D64" s="123">
        <f t="shared" si="16"/>
        <v>2</v>
      </c>
      <c r="E64" s="124" t="str">
        <f t="shared" si="17"/>
        <v>Germaniya</v>
      </c>
      <c r="F64" s="125" t="str">
        <f t="shared" si="18"/>
        <v>final</v>
      </c>
      <c r="G64" s="133">
        <f t="shared" si="19"/>
        <v>24318</v>
      </c>
      <c r="H64" s="127">
        <f t="shared" si="20"/>
        <v>1966</v>
      </c>
      <c r="J64" s="122" t="str">
        <f t="shared" si="21"/>
        <v>Argentina</v>
      </c>
      <c r="K64" s="123">
        <f t="shared" si="22"/>
        <v>3</v>
      </c>
      <c r="L64" s="123">
        <f t="shared" si="23"/>
        <v>1</v>
      </c>
      <c r="M64" s="124" t="str">
        <f t="shared" si="24"/>
        <v>Janubiy Koreya</v>
      </c>
      <c r="N64" s="125" t="str">
        <f t="shared" si="25"/>
        <v>A guruhi</v>
      </c>
      <c r="O64" s="133">
        <f t="shared" si="26"/>
        <v>31565</v>
      </c>
      <c r="P64" s="127">
        <f t="shared" si="27"/>
        <v>1986</v>
      </c>
    </row>
    <row r="65" spans="1:16" x14ac:dyDescent="0.25">
      <c r="A65" s="132">
        <v>44</v>
      </c>
      <c r="B65" s="122" t="str">
        <f t="shared" si="14"/>
        <v>Angliya</v>
      </c>
      <c r="C65" s="123">
        <f t="shared" si="15"/>
        <v>2</v>
      </c>
      <c r="D65" s="123">
        <f t="shared" si="16"/>
        <v>1</v>
      </c>
      <c r="E65" s="124" t="str">
        <f t="shared" si="17"/>
        <v>Portugaliya</v>
      </c>
      <c r="F65" s="125" t="str">
        <f t="shared" si="18"/>
        <v>yarim final</v>
      </c>
      <c r="G65" s="133">
        <f t="shared" si="19"/>
        <v>24314</v>
      </c>
      <c r="H65" s="127">
        <f t="shared" si="20"/>
        <v>1966</v>
      </c>
      <c r="J65" s="122" t="str">
        <f t="shared" si="21"/>
        <v>Argentina</v>
      </c>
      <c r="K65" s="123">
        <f t="shared" si="22"/>
        <v>1</v>
      </c>
      <c r="L65" s="123">
        <f t="shared" si="23"/>
        <v>3</v>
      </c>
      <c r="M65" s="124" t="str">
        <f t="shared" si="24"/>
        <v>Braziliya</v>
      </c>
      <c r="N65" s="125" t="str">
        <f t="shared" si="25"/>
        <v>C guruhi</v>
      </c>
      <c r="O65" s="133">
        <f t="shared" si="26"/>
        <v>30134</v>
      </c>
      <c r="P65" s="127">
        <f t="shared" si="27"/>
        <v>1982</v>
      </c>
    </row>
    <row r="66" spans="1:16" x14ac:dyDescent="0.25">
      <c r="A66" s="132">
        <v>45</v>
      </c>
      <c r="B66" s="122" t="str">
        <f t="shared" si="14"/>
        <v>Argentina</v>
      </c>
      <c r="C66" s="123">
        <f t="shared" si="15"/>
        <v>0</v>
      </c>
      <c r="D66" s="123">
        <f t="shared" si="16"/>
        <v>1</v>
      </c>
      <c r="E66" s="124" t="str">
        <f t="shared" si="17"/>
        <v>Angliya</v>
      </c>
      <c r="F66" s="125" t="str">
        <f t="shared" si="18"/>
        <v>chorak final</v>
      </c>
      <c r="G66" s="133">
        <f t="shared" si="19"/>
        <v>24311</v>
      </c>
      <c r="H66" s="127">
        <f t="shared" si="20"/>
        <v>1966</v>
      </c>
      <c r="J66" s="122" t="str">
        <f t="shared" si="21"/>
        <v>Argentina</v>
      </c>
      <c r="K66" s="123">
        <f t="shared" si="22"/>
        <v>1</v>
      </c>
      <c r="L66" s="123">
        <f t="shared" si="23"/>
        <v>2</v>
      </c>
      <c r="M66" s="124" t="str">
        <f t="shared" si="24"/>
        <v>Italiya</v>
      </c>
      <c r="N66" s="125" t="str">
        <f t="shared" si="25"/>
        <v>C guruhi</v>
      </c>
      <c r="O66" s="133">
        <f t="shared" si="26"/>
        <v>30131</v>
      </c>
      <c r="P66" s="127">
        <f t="shared" si="27"/>
        <v>1982</v>
      </c>
    </row>
    <row r="67" spans="1:16" x14ac:dyDescent="0.25">
      <c r="A67" s="132">
        <v>46</v>
      </c>
      <c r="B67" s="122" t="str">
        <f t="shared" si="14"/>
        <v>Angliya</v>
      </c>
      <c r="C67" s="123">
        <f t="shared" si="15"/>
        <v>2</v>
      </c>
      <c r="D67" s="123">
        <f t="shared" si="16"/>
        <v>0</v>
      </c>
      <c r="E67" s="124" t="str">
        <f t="shared" si="17"/>
        <v>Fransiya</v>
      </c>
      <c r="F67" s="125" t="str">
        <f t="shared" si="18"/>
        <v>1-guruh</v>
      </c>
      <c r="G67" s="133">
        <f t="shared" si="19"/>
        <v>24308</v>
      </c>
      <c r="H67" s="127">
        <f t="shared" si="20"/>
        <v>1966</v>
      </c>
      <c r="J67" s="122" t="str">
        <f t="shared" si="21"/>
        <v>Argentina</v>
      </c>
      <c r="K67" s="123">
        <f t="shared" si="22"/>
        <v>2</v>
      </c>
      <c r="L67" s="123">
        <f t="shared" si="23"/>
        <v>0</v>
      </c>
      <c r="M67" s="124" t="str">
        <f t="shared" si="24"/>
        <v>Salvador</v>
      </c>
      <c r="N67" s="125" t="str">
        <f t="shared" si="25"/>
        <v>3-guruh</v>
      </c>
      <c r="O67" s="133">
        <f t="shared" si="26"/>
        <v>30125</v>
      </c>
      <c r="P67" s="127">
        <f t="shared" si="27"/>
        <v>1982</v>
      </c>
    </row>
    <row r="68" spans="1:16" x14ac:dyDescent="0.25">
      <c r="A68" s="132">
        <v>47</v>
      </c>
      <c r="B68" s="122" t="str">
        <f t="shared" si="14"/>
        <v>Angliya</v>
      </c>
      <c r="C68" s="123">
        <f t="shared" si="15"/>
        <v>2</v>
      </c>
      <c r="D68" s="123">
        <f t="shared" si="16"/>
        <v>0</v>
      </c>
      <c r="E68" s="124" t="str">
        <f t="shared" si="17"/>
        <v>Meksika</v>
      </c>
      <c r="F68" s="125" t="str">
        <f t="shared" si="18"/>
        <v>1-guruh</v>
      </c>
      <c r="G68" s="133">
        <f t="shared" si="19"/>
        <v>24304</v>
      </c>
      <c r="H68" s="127">
        <f t="shared" si="20"/>
        <v>1966</v>
      </c>
      <c r="J68" s="122" t="str">
        <f t="shared" si="21"/>
        <v>Argentina</v>
      </c>
      <c r="K68" s="123">
        <f t="shared" si="22"/>
        <v>4</v>
      </c>
      <c r="L68" s="123">
        <f t="shared" si="23"/>
        <v>1</v>
      </c>
      <c r="M68" s="124" t="str">
        <f t="shared" si="24"/>
        <v>Vengriya</v>
      </c>
      <c r="N68" s="125" t="str">
        <f t="shared" si="25"/>
        <v>3-guruh</v>
      </c>
      <c r="O68" s="133">
        <f t="shared" si="26"/>
        <v>30120</v>
      </c>
      <c r="P68" s="127">
        <f t="shared" si="27"/>
        <v>1982</v>
      </c>
    </row>
    <row r="69" spans="1:16" x14ac:dyDescent="0.25">
      <c r="A69" s="132">
        <v>48</v>
      </c>
      <c r="B69" s="122" t="str">
        <f t="shared" si="14"/>
        <v>Angliya</v>
      </c>
      <c r="C69" s="123">
        <f t="shared" si="15"/>
        <v>0</v>
      </c>
      <c r="D69" s="123">
        <f t="shared" si="16"/>
        <v>0</v>
      </c>
      <c r="E69" s="124" t="str">
        <f t="shared" si="17"/>
        <v>Urugvay</v>
      </c>
      <c r="F69" s="125" t="str">
        <f t="shared" si="18"/>
        <v>1-guruh</v>
      </c>
      <c r="G69" s="133">
        <f t="shared" si="19"/>
        <v>24299</v>
      </c>
      <c r="H69" s="127">
        <f t="shared" si="20"/>
        <v>1966</v>
      </c>
      <c r="J69" s="122" t="str">
        <f t="shared" si="21"/>
        <v>Argentina</v>
      </c>
      <c r="K69" s="123">
        <f t="shared" si="22"/>
        <v>0</v>
      </c>
      <c r="L69" s="123">
        <f t="shared" si="23"/>
        <v>1</v>
      </c>
      <c r="M69" s="124" t="str">
        <f t="shared" si="24"/>
        <v>Belgiya</v>
      </c>
      <c r="N69" s="125" t="str">
        <f t="shared" si="25"/>
        <v>3-guruh</v>
      </c>
      <c r="O69" s="133">
        <f t="shared" si="26"/>
        <v>30115</v>
      </c>
      <c r="P69" s="127">
        <f t="shared" si="27"/>
        <v>1982</v>
      </c>
    </row>
    <row r="70" spans="1:16" x14ac:dyDescent="0.25">
      <c r="A70" s="132">
        <v>49</v>
      </c>
      <c r="B70" s="122" t="str">
        <f t="shared" si="14"/>
        <v>Braziliya</v>
      </c>
      <c r="C70" s="123">
        <f t="shared" si="15"/>
        <v>3</v>
      </c>
      <c r="D70" s="123">
        <f t="shared" si="16"/>
        <v>1</v>
      </c>
      <c r="E70" s="124" t="str">
        <f t="shared" si="17"/>
        <v>Angliya</v>
      </c>
      <c r="F70" s="125" t="str">
        <f t="shared" si="18"/>
        <v>chorak final</v>
      </c>
      <c r="G70" s="133">
        <f t="shared" si="19"/>
        <v>22807</v>
      </c>
      <c r="H70" s="127">
        <f t="shared" si="20"/>
        <v>1962</v>
      </c>
      <c r="J70" s="122" t="str">
        <f t="shared" si="21"/>
        <v>Argentina</v>
      </c>
      <c r="K70" s="123">
        <f t="shared" si="22"/>
        <v>3</v>
      </c>
      <c r="L70" s="123">
        <f t="shared" si="23"/>
        <v>1</v>
      </c>
      <c r="M70" s="124" t="str">
        <f t="shared" si="24"/>
        <v>Nederlandiya</v>
      </c>
      <c r="N70" s="125" t="str">
        <f t="shared" si="25"/>
        <v>final</v>
      </c>
      <c r="O70" s="133">
        <f t="shared" si="26"/>
        <v>28666</v>
      </c>
      <c r="P70" s="127">
        <f t="shared" si="27"/>
        <v>1978</v>
      </c>
    </row>
    <row r="71" spans="1:16" x14ac:dyDescent="0.25">
      <c r="A71" s="132">
        <v>50</v>
      </c>
      <c r="B71" s="122" t="str">
        <f t="shared" si="14"/>
        <v>Bolgariya</v>
      </c>
      <c r="C71" s="123">
        <f t="shared" si="15"/>
        <v>0</v>
      </c>
      <c r="D71" s="123">
        <f t="shared" si="16"/>
        <v>0</v>
      </c>
      <c r="E71" s="124" t="str">
        <f t="shared" si="17"/>
        <v>Angliya</v>
      </c>
      <c r="F71" s="125" t="str">
        <f t="shared" si="18"/>
        <v>4-guruh</v>
      </c>
      <c r="G71" s="133">
        <f t="shared" si="19"/>
        <v>22804</v>
      </c>
      <c r="H71" s="127">
        <f t="shared" si="20"/>
        <v>1962</v>
      </c>
      <c r="J71" s="122" t="str">
        <f t="shared" si="21"/>
        <v>Argentina</v>
      </c>
      <c r="K71" s="123">
        <f t="shared" si="22"/>
        <v>6</v>
      </c>
      <c r="L71" s="123">
        <f t="shared" si="23"/>
        <v>0</v>
      </c>
      <c r="M71" s="124" t="str">
        <f t="shared" si="24"/>
        <v>Peru</v>
      </c>
      <c r="N71" s="125" t="str">
        <f t="shared" si="25"/>
        <v>B guruhi</v>
      </c>
      <c r="O71" s="133">
        <f t="shared" si="26"/>
        <v>28662</v>
      </c>
      <c r="P71" s="127">
        <f t="shared" si="27"/>
        <v>1978</v>
      </c>
    </row>
    <row r="72" spans="1:16" x14ac:dyDescent="0.25">
      <c r="A72" s="132">
        <v>51</v>
      </c>
      <c r="B72" s="122" t="str">
        <f t="shared" si="14"/>
        <v>Argentina</v>
      </c>
      <c r="C72" s="123">
        <f t="shared" si="15"/>
        <v>1</v>
      </c>
      <c r="D72" s="123">
        <f t="shared" si="16"/>
        <v>3</v>
      </c>
      <c r="E72" s="124" t="str">
        <f t="shared" si="17"/>
        <v>Angliya</v>
      </c>
      <c r="F72" s="125" t="str">
        <f t="shared" si="18"/>
        <v>4-guruh</v>
      </c>
      <c r="G72" s="133">
        <f t="shared" si="19"/>
        <v>22799</v>
      </c>
      <c r="H72" s="127">
        <f t="shared" si="20"/>
        <v>1962</v>
      </c>
      <c r="J72" s="122" t="str">
        <f t="shared" si="21"/>
        <v>Argentina</v>
      </c>
      <c r="K72" s="123">
        <f t="shared" si="22"/>
        <v>0</v>
      </c>
      <c r="L72" s="123">
        <f t="shared" si="23"/>
        <v>0</v>
      </c>
      <c r="M72" s="124" t="str">
        <f t="shared" si="24"/>
        <v>Braziliya</v>
      </c>
      <c r="N72" s="125" t="str">
        <f t="shared" si="25"/>
        <v>B guruhi</v>
      </c>
      <c r="O72" s="133">
        <f t="shared" si="26"/>
        <v>28659</v>
      </c>
      <c r="P72" s="127">
        <f t="shared" si="27"/>
        <v>1978</v>
      </c>
    </row>
    <row r="73" spans="1:16" x14ac:dyDescent="0.25">
      <c r="A73" s="132">
        <v>52</v>
      </c>
      <c r="B73" s="122" t="str">
        <f t="shared" si="14"/>
        <v>Angliya</v>
      </c>
      <c r="C73" s="123">
        <f t="shared" si="15"/>
        <v>1</v>
      </c>
      <c r="D73" s="123">
        <f t="shared" si="16"/>
        <v>2</v>
      </c>
      <c r="E73" s="124" t="str">
        <f t="shared" si="17"/>
        <v>Vengriya</v>
      </c>
      <c r="F73" s="125" t="str">
        <f t="shared" si="18"/>
        <v>4-guruh</v>
      </c>
      <c r="G73" s="133">
        <f t="shared" si="19"/>
        <v>22797</v>
      </c>
      <c r="H73" s="127">
        <f t="shared" si="20"/>
        <v>1962</v>
      </c>
      <c r="J73" s="122" t="str">
        <f t="shared" si="21"/>
        <v>Argentina</v>
      </c>
      <c r="K73" s="123">
        <f t="shared" si="22"/>
        <v>2</v>
      </c>
      <c r="L73" s="123">
        <f t="shared" si="23"/>
        <v>0</v>
      </c>
      <c r="M73" s="124" t="str">
        <f t="shared" si="24"/>
        <v>Polsha</v>
      </c>
      <c r="N73" s="125" t="str">
        <f t="shared" si="25"/>
        <v>B guruhi</v>
      </c>
      <c r="O73" s="133">
        <f t="shared" si="26"/>
        <v>28655</v>
      </c>
      <c r="P73" s="127">
        <f t="shared" si="27"/>
        <v>1978</v>
      </c>
    </row>
    <row r="74" spans="1:16" x14ac:dyDescent="0.25">
      <c r="A74" s="132">
        <v>53</v>
      </c>
      <c r="B74" s="122" t="str">
        <f t="shared" si="14"/>
        <v>Angliya</v>
      </c>
      <c r="C74" s="123">
        <f t="shared" si="15"/>
        <v>0</v>
      </c>
      <c r="D74" s="123">
        <f t="shared" si="16"/>
        <v>1</v>
      </c>
      <c r="E74" s="124" t="str">
        <f t="shared" si="17"/>
        <v>SSSR</v>
      </c>
      <c r="F74" s="125" t="str">
        <f t="shared" si="18"/>
        <v>4-guruh</v>
      </c>
      <c r="G74" s="133">
        <f t="shared" si="19"/>
        <v>21353</v>
      </c>
      <c r="H74" s="127">
        <f t="shared" si="20"/>
        <v>1958</v>
      </c>
      <c r="J74" s="122" t="str">
        <f t="shared" si="21"/>
        <v>Argentina</v>
      </c>
      <c r="K74" s="123">
        <f t="shared" si="22"/>
        <v>0</v>
      </c>
      <c r="L74" s="123">
        <f t="shared" si="23"/>
        <v>1</v>
      </c>
      <c r="M74" s="124" t="str">
        <f t="shared" si="24"/>
        <v>Italiya</v>
      </c>
      <c r="N74" s="125" t="str">
        <f t="shared" si="25"/>
        <v>1-guruh</v>
      </c>
      <c r="O74" s="133">
        <f t="shared" si="26"/>
        <v>28651</v>
      </c>
      <c r="P74" s="127">
        <f t="shared" si="27"/>
        <v>1978</v>
      </c>
    </row>
    <row r="75" spans="1:16" x14ac:dyDescent="0.25">
      <c r="A75" s="132">
        <v>54</v>
      </c>
      <c r="B75" s="122" t="str">
        <f t="shared" si="14"/>
        <v>Avstriya</v>
      </c>
      <c r="C75" s="123">
        <f t="shared" si="15"/>
        <v>2</v>
      </c>
      <c r="D75" s="123">
        <f t="shared" si="16"/>
        <v>2</v>
      </c>
      <c r="E75" s="124" t="str">
        <f t="shared" si="17"/>
        <v>Angliya</v>
      </c>
      <c r="F75" s="125" t="str">
        <f t="shared" si="18"/>
        <v>4-guruh</v>
      </c>
      <c r="G75" s="133">
        <f t="shared" si="19"/>
        <v>21351</v>
      </c>
      <c r="H75" s="127">
        <f t="shared" si="20"/>
        <v>1958</v>
      </c>
      <c r="J75" s="122" t="str">
        <f t="shared" si="21"/>
        <v>Argentina</v>
      </c>
      <c r="K75" s="123">
        <f t="shared" si="22"/>
        <v>2</v>
      </c>
      <c r="L75" s="123">
        <f t="shared" si="23"/>
        <v>1</v>
      </c>
      <c r="M75" s="124" t="str">
        <f t="shared" si="24"/>
        <v>Fransiya</v>
      </c>
      <c r="N75" s="125" t="str">
        <f t="shared" si="25"/>
        <v>1-guruh</v>
      </c>
      <c r="O75" s="133">
        <f t="shared" si="26"/>
        <v>28647</v>
      </c>
      <c r="P75" s="127">
        <f t="shared" si="27"/>
        <v>1978</v>
      </c>
    </row>
    <row r="76" spans="1:16" x14ac:dyDescent="0.25">
      <c r="A76" s="132">
        <v>55</v>
      </c>
      <c r="B76" s="122" t="str">
        <f t="shared" si="14"/>
        <v>Braziliya</v>
      </c>
      <c r="C76" s="123">
        <f t="shared" si="15"/>
        <v>0</v>
      </c>
      <c r="D76" s="123">
        <f t="shared" si="16"/>
        <v>0</v>
      </c>
      <c r="E76" s="124" t="str">
        <f t="shared" si="17"/>
        <v>Angliya</v>
      </c>
      <c r="F76" s="125" t="str">
        <f t="shared" si="18"/>
        <v>4-guruh</v>
      </c>
      <c r="G76" s="133">
        <f t="shared" si="19"/>
        <v>21347</v>
      </c>
      <c r="H76" s="127">
        <f t="shared" si="20"/>
        <v>1958</v>
      </c>
      <c r="J76" s="122" t="str">
        <f t="shared" si="21"/>
        <v>Argentina</v>
      </c>
      <c r="K76" s="123">
        <f t="shared" si="22"/>
        <v>2</v>
      </c>
      <c r="L76" s="123">
        <f t="shared" si="23"/>
        <v>1</v>
      </c>
      <c r="M76" s="124" t="str">
        <f t="shared" si="24"/>
        <v>Vengriya</v>
      </c>
      <c r="N76" s="125" t="str">
        <f t="shared" si="25"/>
        <v>1-guruh</v>
      </c>
      <c r="O76" s="133">
        <f t="shared" si="26"/>
        <v>28643</v>
      </c>
      <c r="P76" s="127">
        <f t="shared" si="27"/>
        <v>1978</v>
      </c>
    </row>
    <row r="77" spans="1:16" x14ac:dyDescent="0.25">
      <c r="A77" s="132">
        <v>56</v>
      </c>
      <c r="B77" s="122" t="str">
        <f t="shared" si="14"/>
        <v>Angliya</v>
      </c>
      <c r="C77" s="123">
        <f t="shared" si="15"/>
        <v>2</v>
      </c>
      <c r="D77" s="123">
        <f t="shared" si="16"/>
        <v>2</v>
      </c>
      <c r="E77" s="124" t="str">
        <f t="shared" si="17"/>
        <v>SSSR</v>
      </c>
      <c r="F77" s="125" t="str">
        <f t="shared" si="18"/>
        <v>4-guruh</v>
      </c>
      <c r="G77" s="133">
        <f t="shared" si="19"/>
        <v>21344</v>
      </c>
      <c r="H77" s="127">
        <f t="shared" si="20"/>
        <v>1958</v>
      </c>
      <c r="J77" s="122" t="str">
        <f t="shared" si="21"/>
        <v>Argentina</v>
      </c>
      <c r="K77" s="123">
        <f t="shared" si="22"/>
        <v>1</v>
      </c>
      <c r="L77" s="123">
        <f t="shared" si="23"/>
        <v>1</v>
      </c>
      <c r="M77" s="124" t="str">
        <f t="shared" si="24"/>
        <v>Sharqiy Germaniya</v>
      </c>
      <c r="N77" s="125" t="str">
        <f t="shared" si="25"/>
        <v>A guruhi</v>
      </c>
      <c r="O77" s="133">
        <f t="shared" si="26"/>
        <v>27213</v>
      </c>
      <c r="P77" s="127">
        <f t="shared" si="27"/>
        <v>1974</v>
      </c>
    </row>
    <row r="78" spans="1:16" x14ac:dyDescent="0.25">
      <c r="A78" s="132">
        <v>57</v>
      </c>
      <c r="B78" s="122" t="str">
        <f t="shared" si="14"/>
        <v>Angliya</v>
      </c>
      <c r="C78" s="123">
        <f t="shared" si="15"/>
        <v>2</v>
      </c>
      <c r="D78" s="123">
        <f t="shared" si="16"/>
        <v>4</v>
      </c>
      <c r="E78" s="124" t="str">
        <f t="shared" si="17"/>
        <v>Urugvay</v>
      </c>
      <c r="F78" s="125" t="str">
        <f t="shared" si="18"/>
        <v>chorak final</v>
      </c>
      <c r="G78" s="133">
        <f t="shared" si="19"/>
        <v>19901</v>
      </c>
      <c r="H78" s="127">
        <f t="shared" si="20"/>
        <v>1954</v>
      </c>
      <c r="J78" s="122" t="str">
        <f t="shared" si="21"/>
        <v>Argentina</v>
      </c>
      <c r="K78" s="123">
        <f t="shared" si="22"/>
        <v>1</v>
      </c>
      <c r="L78" s="123">
        <f t="shared" si="23"/>
        <v>2</v>
      </c>
      <c r="M78" s="124" t="str">
        <f t="shared" si="24"/>
        <v>Braziliya</v>
      </c>
      <c r="N78" s="125" t="str">
        <f t="shared" si="25"/>
        <v>A guruhi</v>
      </c>
      <c r="O78" s="133">
        <f t="shared" si="26"/>
        <v>27210</v>
      </c>
      <c r="P78" s="127">
        <f t="shared" si="27"/>
        <v>1974</v>
      </c>
    </row>
    <row r="79" spans="1:16" x14ac:dyDescent="0.25">
      <c r="A79" s="132">
        <v>58</v>
      </c>
      <c r="B79" s="122" t="str">
        <f t="shared" si="14"/>
        <v>Angliya</v>
      </c>
      <c r="C79" s="123">
        <f t="shared" si="15"/>
        <v>2</v>
      </c>
      <c r="D79" s="123">
        <f t="shared" si="16"/>
        <v>0</v>
      </c>
      <c r="E79" s="124" t="str">
        <f t="shared" si="17"/>
        <v>Shveysariya</v>
      </c>
      <c r="F79" s="125" t="str">
        <f t="shared" si="18"/>
        <v>4-guruh</v>
      </c>
      <c r="G79" s="133">
        <f t="shared" si="19"/>
        <v>19895</v>
      </c>
      <c r="H79" s="127">
        <f t="shared" si="20"/>
        <v>1954</v>
      </c>
      <c r="J79" s="122" t="str">
        <f t="shared" si="21"/>
        <v>Argentina</v>
      </c>
      <c r="K79" s="123">
        <f t="shared" si="22"/>
        <v>0</v>
      </c>
      <c r="L79" s="123">
        <f t="shared" si="23"/>
        <v>4</v>
      </c>
      <c r="M79" s="124" t="str">
        <f t="shared" si="24"/>
        <v>Nederlandiya</v>
      </c>
      <c r="N79" s="125" t="str">
        <f t="shared" si="25"/>
        <v>A guruhi</v>
      </c>
      <c r="O79" s="133">
        <f t="shared" si="26"/>
        <v>27206</v>
      </c>
      <c r="P79" s="127">
        <f t="shared" si="27"/>
        <v>1974</v>
      </c>
    </row>
    <row r="80" spans="1:16" x14ac:dyDescent="0.25">
      <c r="A80" s="132">
        <v>59</v>
      </c>
      <c r="B80" s="122" t="str">
        <f t="shared" si="14"/>
        <v>Belgiya</v>
      </c>
      <c r="C80" s="123">
        <f t="shared" si="15"/>
        <v>4</v>
      </c>
      <c r="D80" s="123">
        <f t="shared" si="16"/>
        <v>4</v>
      </c>
      <c r="E80" s="124" t="str">
        <f t="shared" si="17"/>
        <v>Angliya</v>
      </c>
      <c r="F80" s="125" t="str">
        <f t="shared" si="18"/>
        <v>4-guruh</v>
      </c>
      <c r="G80" s="133">
        <f t="shared" si="19"/>
        <v>19892</v>
      </c>
      <c r="H80" s="127">
        <f t="shared" si="20"/>
        <v>1954</v>
      </c>
      <c r="J80" s="122" t="str">
        <f t="shared" si="21"/>
        <v>Argentina</v>
      </c>
      <c r="K80" s="123">
        <f t="shared" si="22"/>
        <v>4</v>
      </c>
      <c r="L80" s="123">
        <f t="shared" si="23"/>
        <v>1</v>
      </c>
      <c r="M80" s="124" t="str">
        <f t="shared" si="24"/>
        <v>Haiti</v>
      </c>
      <c r="N80" s="125" t="str">
        <f t="shared" si="25"/>
        <v/>
      </c>
      <c r="O80" s="133">
        <f t="shared" si="26"/>
        <v>27203</v>
      </c>
      <c r="P80" s="127">
        <f t="shared" si="27"/>
        <v>1974</v>
      </c>
    </row>
    <row r="81" spans="1:16" x14ac:dyDescent="0.25">
      <c r="A81" s="132">
        <v>60</v>
      </c>
      <c r="B81" s="122" t="str">
        <f t="shared" si="14"/>
        <v>Angliya</v>
      </c>
      <c r="C81" s="123">
        <f t="shared" si="15"/>
        <v>0</v>
      </c>
      <c r="D81" s="123">
        <f t="shared" si="16"/>
        <v>1</v>
      </c>
      <c r="E81" s="124" t="str">
        <f t="shared" si="17"/>
        <v>Ispaniya</v>
      </c>
      <c r="F81" s="125" t="str">
        <f t="shared" si="18"/>
        <v>2-guruh</v>
      </c>
      <c r="G81" s="133">
        <f t="shared" si="19"/>
        <v>18446</v>
      </c>
      <c r="H81" s="127">
        <f t="shared" si="20"/>
        <v>1950</v>
      </c>
      <c r="J81" s="122" t="str">
        <f t="shared" si="21"/>
        <v>Argentina</v>
      </c>
      <c r="K81" s="123">
        <f t="shared" si="22"/>
        <v>1</v>
      </c>
      <c r="L81" s="123">
        <f t="shared" si="23"/>
        <v>1</v>
      </c>
      <c r="M81" s="124" t="str">
        <f t="shared" si="24"/>
        <v>Italiya</v>
      </c>
      <c r="N81" s="125" t="str">
        <f t="shared" si="25"/>
        <v/>
      </c>
      <c r="O81" s="133">
        <f t="shared" si="26"/>
        <v>27199</v>
      </c>
      <c r="P81" s="127">
        <f t="shared" si="27"/>
        <v>1974</v>
      </c>
    </row>
    <row r="82" spans="1:16" x14ac:dyDescent="0.25">
      <c r="A82" s="132">
        <v>61</v>
      </c>
      <c r="B82" s="122" t="str">
        <f t="shared" si="14"/>
        <v>Angliya</v>
      </c>
      <c r="C82" s="123">
        <f t="shared" si="15"/>
        <v>0</v>
      </c>
      <c r="D82" s="123">
        <f t="shared" si="16"/>
        <v>1</v>
      </c>
      <c r="E82" s="124" t="str">
        <f t="shared" si="17"/>
        <v>AQSh</v>
      </c>
      <c r="F82" s="125" t="str">
        <f t="shared" si="18"/>
        <v>2-guruh</v>
      </c>
      <c r="G82" s="133">
        <f t="shared" si="19"/>
        <v>18443</v>
      </c>
      <c r="H82" s="127">
        <f t="shared" si="20"/>
        <v>1950</v>
      </c>
      <c r="J82" s="122" t="str">
        <f t="shared" si="21"/>
        <v>Argentina</v>
      </c>
      <c r="K82" s="123">
        <f t="shared" si="22"/>
        <v>2</v>
      </c>
      <c r="L82" s="123">
        <f t="shared" si="23"/>
        <v>3</v>
      </c>
      <c r="M82" s="124" t="str">
        <f t="shared" si="24"/>
        <v>Polsha</v>
      </c>
      <c r="N82" s="125" t="str">
        <f t="shared" si="25"/>
        <v/>
      </c>
      <c r="O82" s="133">
        <f t="shared" si="26"/>
        <v>27195</v>
      </c>
      <c r="P82" s="127">
        <f t="shared" si="27"/>
        <v>1974</v>
      </c>
    </row>
    <row r="83" spans="1:16" x14ac:dyDescent="0.25">
      <c r="A83" s="132">
        <v>62</v>
      </c>
      <c r="B83" s="122" t="str">
        <f t="shared" si="14"/>
        <v>Chili</v>
      </c>
      <c r="C83" s="123">
        <f t="shared" si="15"/>
        <v>0</v>
      </c>
      <c r="D83" s="123">
        <f t="shared" si="16"/>
        <v>2</v>
      </c>
      <c r="E83" s="124" t="str">
        <f t="shared" si="17"/>
        <v>Angliya</v>
      </c>
      <c r="F83" s="125" t="str">
        <f t="shared" si="18"/>
        <v>2-guruh</v>
      </c>
      <c r="G83" s="133">
        <f t="shared" si="19"/>
        <v>18439</v>
      </c>
      <c r="H83" s="127">
        <f t="shared" si="20"/>
        <v>1950</v>
      </c>
      <c r="J83" s="122" t="str">
        <f t="shared" si="21"/>
        <v>Argentina</v>
      </c>
      <c r="K83" s="123">
        <f t="shared" si="22"/>
        <v>1</v>
      </c>
      <c r="L83" s="123">
        <f t="shared" si="23"/>
        <v>1</v>
      </c>
      <c r="M83" s="124" t="str">
        <f t="shared" si="24"/>
        <v>Sharqiy Germaniya</v>
      </c>
      <c r="N83" s="125" t="str">
        <f t="shared" si="25"/>
        <v>A guruhi</v>
      </c>
      <c r="O83" s="133">
        <f t="shared" si="26"/>
        <v>27213</v>
      </c>
      <c r="P83" s="127">
        <f t="shared" si="27"/>
        <v>1974</v>
      </c>
    </row>
    <row r="84" spans="1:16" x14ac:dyDescent="0.25">
      <c r="A84" s="132">
        <v>63</v>
      </c>
      <c r="B84" s="122" t="str">
        <f t="shared" si="14"/>
        <v/>
      </c>
      <c r="C84" s="123" t="str">
        <f t="shared" si="15"/>
        <v/>
      </c>
      <c r="D84" s="123" t="str">
        <f t="shared" si="16"/>
        <v/>
      </c>
      <c r="E84" s="124" t="str">
        <f t="shared" si="17"/>
        <v/>
      </c>
      <c r="F84" s="125" t="str">
        <f t="shared" si="18"/>
        <v/>
      </c>
      <c r="G84" s="133" t="str">
        <f t="shared" si="19"/>
        <v/>
      </c>
      <c r="H84" s="127" t="str">
        <f t="shared" si="20"/>
        <v/>
      </c>
      <c r="J84" s="122" t="str">
        <f t="shared" si="21"/>
        <v>Argentina</v>
      </c>
      <c r="K84" s="123">
        <f t="shared" si="22"/>
        <v>1</v>
      </c>
      <c r="L84" s="123">
        <f t="shared" si="23"/>
        <v>2</v>
      </c>
      <c r="M84" s="124" t="str">
        <f t="shared" si="24"/>
        <v>Braziliya</v>
      </c>
      <c r="N84" s="125" t="str">
        <f t="shared" si="25"/>
        <v>A guruhi</v>
      </c>
      <c r="O84" s="133">
        <f t="shared" si="26"/>
        <v>27210</v>
      </c>
      <c r="P84" s="127">
        <f t="shared" si="27"/>
        <v>1974</v>
      </c>
    </row>
    <row r="85" spans="1:16" x14ac:dyDescent="0.25">
      <c r="A85" s="132">
        <v>64</v>
      </c>
      <c r="B85" s="122" t="str">
        <f t="shared" si="14"/>
        <v/>
      </c>
      <c r="C85" s="123" t="str">
        <f t="shared" si="15"/>
        <v/>
      </c>
      <c r="D85" s="123" t="str">
        <f t="shared" si="16"/>
        <v/>
      </c>
      <c r="E85" s="124" t="str">
        <f t="shared" si="17"/>
        <v/>
      </c>
      <c r="F85" s="125" t="str">
        <f t="shared" si="18"/>
        <v/>
      </c>
      <c r="G85" s="133" t="str">
        <f t="shared" si="19"/>
        <v/>
      </c>
      <c r="H85" s="127" t="str">
        <f t="shared" si="20"/>
        <v/>
      </c>
      <c r="J85" s="122" t="str">
        <f t="shared" si="21"/>
        <v>Argentina</v>
      </c>
      <c r="K85" s="123">
        <f t="shared" si="22"/>
        <v>0</v>
      </c>
      <c r="L85" s="123">
        <f t="shared" si="23"/>
        <v>4</v>
      </c>
      <c r="M85" s="124" t="str">
        <f t="shared" si="24"/>
        <v>Nederlandiya</v>
      </c>
      <c r="N85" s="125" t="str">
        <f t="shared" si="25"/>
        <v>A guruhi</v>
      </c>
      <c r="O85" s="133">
        <f t="shared" si="26"/>
        <v>27206</v>
      </c>
      <c r="P85" s="127">
        <f t="shared" si="27"/>
        <v>1974</v>
      </c>
    </row>
    <row r="86" spans="1:16" x14ac:dyDescent="0.25">
      <c r="A86" s="132">
        <v>65</v>
      </c>
      <c r="B86" s="122" t="str">
        <f t="shared" ref="B86:B117" si="28">IFERROR(VLOOKUP($A86,db_t1,8,FALSE),"")</f>
        <v/>
      </c>
      <c r="C86" s="123" t="str">
        <f t="shared" ref="C86:C117" si="29">IFERROR(VLOOKUP($A86,db_t1,9,FALSE),"")</f>
        <v/>
      </c>
      <c r="D86" s="123" t="str">
        <f t="shared" ref="D86:D117" si="30">IFERROR(VLOOKUP($A86,db_t1,10,FALSE),"")</f>
        <v/>
      </c>
      <c r="E86" s="124" t="str">
        <f t="shared" ref="E86:E117" si="31">IFERROR(VLOOKUP($A86,db_t1,11,FALSE),"")</f>
        <v/>
      </c>
      <c r="F86" s="125" t="str">
        <f t="shared" ref="F86:F117" si="32">IFERROR(VLOOKUP($A86,db_t1,6,FALSE),"")</f>
        <v/>
      </c>
      <c r="G86" s="133" t="str">
        <f t="shared" ref="G86:G117" si="33">IFERROR(VLOOKUP($A86,db_t1,4,FALSE),"")</f>
        <v/>
      </c>
      <c r="H86" s="127" t="str">
        <f t="shared" ref="H86:H117" si="34">IFERROR(VLOOKUP($A86,db_t1,5,FALSE),"")</f>
        <v/>
      </c>
      <c r="J86" s="122" t="str">
        <f t="shared" ref="J86:J117" si="35">IFERROR(VLOOKUP($A86,db_t2,7,FALSE),"")</f>
        <v>Argentina</v>
      </c>
      <c r="K86" s="123">
        <f t="shared" ref="K86:K117" si="36">IFERROR(VLOOKUP($A86,db_t2,8,FALSE),"")</f>
        <v>4</v>
      </c>
      <c r="L86" s="123">
        <f t="shared" ref="L86:L117" si="37">IFERROR(VLOOKUP($A86,db_t2,9,FALSE),"")</f>
        <v>1</v>
      </c>
      <c r="M86" s="124" t="str">
        <f t="shared" ref="M86:M117" si="38">IFERROR(VLOOKUP($A86,db_t2,10,FALSE),"")</f>
        <v>Haiti</v>
      </c>
      <c r="N86" s="125" t="str">
        <f t="shared" ref="N86:N117" si="39">IFERROR(VLOOKUP($A86,db_t2,5,FALSE),"")</f>
        <v/>
      </c>
      <c r="O86" s="133">
        <f t="shared" ref="O86:O117" si="40">IFERROR(VLOOKUP($A86,db_t2,3,FALSE),"")</f>
        <v>27203</v>
      </c>
      <c r="P86" s="127">
        <f t="shared" ref="P86:P117" si="41">IFERROR(VLOOKUP($A86,db_t2,4,FALSE),"")</f>
        <v>1974</v>
      </c>
    </row>
    <row r="87" spans="1:16" x14ac:dyDescent="0.25">
      <c r="A87" s="132">
        <v>66</v>
      </c>
      <c r="B87" s="122" t="str">
        <f t="shared" si="28"/>
        <v/>
      </c>
      <c r="C87" s="123" t="str">
        <f t="shared" si="29"/>
        <v/>
      </c>
      <c r="D87" s="123" t="str">
        <f t="shared" si="30"/>
        <v/>
      </c>
      <c r="E87" s="124" t="str">
        <f t="shared" si="31"/>
        <v/>
      </c>
      <c r="F87" s="125" t="str">
        <f t="shared" si="32"/>
        <v/>
      </c>
      <c r="G87" s="133" t="str">
        <f t="shared" si="33"/>
        <v/>
      </c>
      <c r="H87" s="127" t="str">
        <f t="shared" si="34"/>
        <v/>
      </c>
      <c r="J87" s="122" t="str">
        <f t="shared" si="35"/>
        <v>Argentina</v>
      </c>
      <c r="K87" s="123">
        <f t="shared" si="36"/>
        <v>1</v>
      </c>
      <c r="L87" s="123">
        <f t="shared" si="37"/>
        <v>1</v>
      </c>
      <c r="M87" s="124" t="str">
        <f t="shared" si="38"/>
        <v>Italiya</v>
      </c>
      <c r="N87" s="125" t="str">
        <f t="shared" si="39"/>
        <v/>
      </c>
      <c r="O87" s="133">
        <f t="shared" si="40"/>
        <v>27199</v>
      </c>
      <c r="P87" s="127">
        <f t="shared" si="41"/>
        <v>1974</v>
      </c>
    </row>
    <row r="88" spans="1:16" x14ac:dyDescent="0.25">
      <c r="A88" s="132">
        <v>67</v>
      </c>
      <c r="B88" s="122" t="str">
        <f t="shared" si="28"/>
        <v/>
      </c>
      <c r="C88" s="123" t="str">
        <f t="shared" si="29"/>
        <v/>
      </c>
      <c r="D88" s="123" t="str">
        <f t="shared" si="30"/>
        <v/>
      </c>
      <c r="E88" s="124" t="str">
        <f t="shared" si="31"/>
        <v/>
      </c>
      <c r="F88" s="125" t="str">
        <f t="shared" si="32"/>
        <v/>
      </c>
      <c r="G88" s="133" t="str">
        <f t="shared" si="33"/>
        <v/>
      </c>
      <c r="H88" s="127" t="str">
        <f t="shared" si="34"/>
        <v/>
      </c>
      <c r="J88" s="122" t="str">
        <f t="shared" si="35"/>
        <v>Argentina</v>
      </c>
      <c r="K88" s="123">
        <f t="shared" si="36"/>
        <v>2</v>
      </c>
      <c r="L88" s="123">
        <f t="shared" si="37"/>
        <v>3</v>
      </c>
      <c r="M88" s="124" t="str">
        <f t="shared" si="38"/>
        <v>Polsha</v>
      </c>
      <c r="N88" s="125" t="str">
        <f t="shared" si="39"/>
        <v/>
      </c>
      <c r="O88" s="133">
        <f t="shared" si="40"/>
        <v>27195</v>
      </c>
      <c r="P88" s="127">
        <f t="shared" si="41"/>
        <v>1974</v>
      </c>
    </row>
    <row r="89" spans="1:16" x14ac:dyDescent="0.25">
      <c r="A89" s="132">
        <v>68</v>
      </c>
      <c r="B89" s="122" t="str">
        <f t="shared" si="28"/>
        <v/>
      </c>
      <c r="C89" s="123" t="str">
        <f t="shared" si="29"/>
        <v/>
      </c>
      <c r="D89" s="123" t="str">
        <f t="shared" si="30"/>
        <v/>
      </c>
      <c r="E89" s="124" t="str">
        <f t="shared" si="31"/>
        <v/>
      </c>
      <c r="F89" s="125" t="str">
        <f t="shared" si="32"/>
        <v/>
      </c>
      <c r="G89" s="133" t="str">
        <f t="shared" si="33"/>
        <v/>
      </c>
      <c r="H89" s="127" t="str">
        <f t="shared" si="34"/>
        <v/>
      </c>
      <c r="J89" s="122" t="str">
        <f t="shared" si="35"/>
        <v>Argentina</v>
      </c>
      <c r="K89" s="123">
        <f t="shared" si="36"/>
        <v>0</v>
      </c>
      <c r="L89" s="123">
        <f t="shared" si="37"/>
        <v>1</v>
      </c>
      <c r="M89" s="124" t="str">
        <f t="shared" si="38"/>
        <v>Angliya</v>
      </c>
      <c r="N89" s="125" t="str">
        <f t="shared" si="39"/>
        <v>chorak final</v>
      </c>
      <c r="O89" s="133">
        <f t="shared" si="40"/>
        <v>24311</v>
      </c>
      <c r="P89" s="127">
        <f t="shared" si="41"/>
        <v>1966</v>
      </c>
    </row>
    <row r="90" spans="1:16" x14ac:dyDescent="0.25">
      <c r="A90" s="132">
        <v>69</v>
      </c>
      <c r="B90" s="122" t="str">
        <f t="shared" si="28"/>
        <v/>
      </c>
      <c r="C90" s="123" t="str">
        <f t="shared" si="29"/>
        <v/>
      </c>
      <c r="D90" s="123" t="str">
        <f t="shared" si="30"/>
        <v/>
      </c>
      <c r="E90" s="124" t="str">
        <f t="shared" si="31"/>
        <v/>
      </c>
      <c r="F90" s="125" t="str">
        <f t="shared" si="32"/>
        <v/>
      </c>
      <c r="G90" s="133" t="str">
        <f t="shared" si="33"/>
        <v/>
      </c>
      <c r="H90" s="127" t="str">
        <f t="shared" si="34"/>
        <v/>
      </c>
      <c r="J90" s="122" t="str">
        <f t="shared" si="35"/>
        <v>Argentina</v>
      </c>
      <c r="K90" s="123">
        <f t="shared" si="36"/>
        <v>2</v>
      </c>
      <c r="L90" s="123">
        <f t="shared" si="37"/>
        <v>0</v>
      </c>
      <c r="M90" s="124" t="str">
        <f t="shared" si="38"/>
        <v>Shveysariya</v>
      </c>
      <c r="N90" s="125" t="str">
        <f t="shared" si="39"/>
        <v>2-guruh</v>
      </c>
      <c r="O90" s="133">
        <f t="shared" si="40"/>
        <v>24307</v>
      </c>
      <c r="P90" s="127">
        <f t="shared" si="41"/>
        <v>1966</v>
      </c>
    </row>
    <row r="91" spans="1:16" x14ac:dyDescent="0.25">
      <c r="A91" s="132">
        <v>70</v>
      </c>
      <c r="B91" s="122" t="str">
        <f t="shared" si="28"/>
        <v/>
      </c>
      <c r="C91" s="123" t="str">
        <f t="shared" si="29"/>
        <v/>
      </c>
      <c r="D91" s="123" t="str">
        <f t="shared" si="30"/>
        <v/>
      </c>
      <c r="E91" s="124" t="str">
        <f t="shared" si="31"/>
        <v/>
      </c>
      <c r="F91" s="125" t="str">
        <f t="shared" si="32"/>
        <v/>
      </c>
      <c r="G91" s="133" t="str">
        <f t="shared" si="33"/>
        <v/>
      </c>
      <c r="H91" s="127" t="str">
        <f t="shared" si="34"/>
        <v/>
      </c>
      <c r="J91" s="122" t="str">
        <f t="shared" si="35"/>
        <v>Argentina</v>
      </c>
      <c r="K91" s="123">
        <f t="shared" si="36"/>
        <v>0</v>
      </c>
      <c r="L91" s="123">
        <f t="shared" si="37"/>
        <v>0</v>
      </c>
      <c r="M91" s="124" t="str">
        <f t="shared" si="38"/>
        <v>Germaniya</v>
      </c>
      <c r="N91" s="125" t="str">
        <f t="shared" si="39"/>
        <v>2-guruh</v>
      </c>
      <c r="O91" s="133">
        <f t="shared" si="40"/>
        <v>24304</v>
      </c>
      <c r="P91" s="127">
        <f t="shared" si="41"/>
        <v>1966</v>
      </c>
    </row>
    <row r="92" spans="1:16" x14ac:dyDescent="0.25">
      <c r="A92" s="132">
        <v>71</v>
      </c>
      <c r="B92" s="122" t="str">
        <f t="shared" si="28"/>
        <v/>
      </c>
      <c r="C92" s="123" t="str">
        <f t="shared" si="29"/>
        <v/>
      </c>
      <c r="D92" s="123" t="str">
        <f t="shared" si="30"/>
        <v/>
      </c>
      <c r="E92" s="124" t="str">
        <f t="shared" si="31"/>
        <v/>
      </c>
      <c r="F92" s="125" t="str">
        <f t="shared" si="32"/>
        <v/>
      </c>
      <c r="G92" s="133" t="str">
        <f t="shared" si="33"/>
        <v/>
      </c>
      <c r="H92" s="127" t="str">
        <f t="shared" si="34"/>
        <v/>
      </c>
      <c r="J92" s="122" t="str">
        <f t="shared" si="35"/>
        <v>Argentina</v>
      </c>
      <c r="K92" s="123">
        <f t="shared" si="36"/>
        <v>2</v>
      </c>
      <c r="L92" s="123">
        <f t="shared" si="37"/>
        <v>1</v>
      </c>
      <c r="M92" s="124" t="str">
        <f t="shared" si="38"/>
        <v>Ispaniya</v>
      </c>
      <c r="N92" s="125" t="str">
        <f t="shared" si="39"/>
        <v>2-guruh</v>
      </c>
      <c r="O92" s="133">
        <f t="shared" si="40"/>
        <v>24301</v>
      </c>
      <c r="P92" s="127">
        <f t="shared" si="41"/>
        <v>1966</v>
      </c>
    </row>
    <row r="93" spans="1:16" x14ac:dyDescent="0.25">
      <c r="A93" s="132">
        <v>72</v>
      </c>
      <c r="B93" s="122" t="str">
        <f t="shared" si="28"/>
        <v/>
      </c>
      <c r="C93" s="123" t="str">
        <f t="shared" si="29"/>
        <v/>
      </c>
      <c r="D93" s="123" t="str">
        <f t="shared" si="30"/>
        <v/>
      </c>
      <c r="E93" s="124" t="str">
        <f t="shared" si="31"/>
        <v/>
      </c>
      <c r="F93" s="125" t="str">
        <f t="shared" si="32"/>
        <v/>
      </c>
      <c r="G93" s="133" t="str">
        <f t="shared" si="33"/>
        <v/>
      </c>
      <c r="H93" s="127" t="str">
        <f t="shared" si="34"/>
        <v/>
      </c>
      <c r="J93" s="122" t="str">
        <f t="shared" si="35"/>
        <v>Argentina</v>
      </c>
      <c r="K93" s="123">
        <f t="shared" si="36"/>
        <v>0</v>
      </c>
      <c r="L93" s="123">
        <f t="shared" si="37"/>
        <v>0</v>
      </c>
      <c r="M93" s="124" t="str">
        <f t="shared" si="38"/>
        <v>Vengriya</v>
      </c>
      <c r="N93" s="125" t="str">
        <f t="shared" si="39"/>
        <v>4-guruh</v>
      </c>
      <c r="O93" s="133">
        <f t="shared" si="40"/>
        <v>22803</v>
      </c>
      <c r="P93" s="127">
        <f t="shared" si="41"/>
        <v>1962</v>
      </c>
    </row>
    <row r="94" spans="1:16" x14ac:dyDescent="0.25">
      <c r="A94" s="132">
        <v>73</v>
      </c>
      <c r="B94" s="122" t="str">
        <f t="shared" si="28"/>
        <v/>
      </c>
      <c r="C94" s="123" t="str">
        <f t="shared" si="29"/>
        <v/>
      </c>
      <c r="D94" s="123" t="str">
        <f t="shared" si="30"/>
        <v/>
      </c>
      <c r="E94" s="124" t="str">
        <f t="shared" si="31"/>
        <v/>
      </c>
      <c r="F94" s="125" t="str">
        <f t="shared" si="32"/>
        <v/>
      </c>
      <c r="G94" s="133" t="str">
        <f t="shared" si="33"/>
        <v/>
      </c>
      <c r="H94" s="127" t="str">
        <f t="shared" si="34"/>
        <v/>
      </c>
      <c r="J94" s="122" t="str">
        <f t="shared" si="35"/>
        <v>Argentina</v>
      </c>
      <c r="K94" s="123">
        <f t="shared" si="36"/>
        <v>1</v>
      </c>
      <c r="L94" s="123">
        <f t="shared" si="37"/>
        <v>3</v>
      </c>
      <c r="M94" s="124" t="str">
        <f t="shared" si="38"/>
        <v>Angliya</v>
      </c>
      <c r="N94" s="125" t="str">
        <f t="shared" si="39"/>
        <v>4-guruh</v>
      </c>
      <c r="O94" s="133">
        <f t="shared" si="40"/>
        <v>22799</v>
      </c>
      <c r="P94" s="127">
        <f t="shared" si="41"/>
        <v>1962</v>
      </c>
    </row>
    <row r="95" spans="1:16" x14ac:dyDescent="0.25">
      <c r="A95" s="132">
        <v>74</v>
      </c>
      <c r="B95" s="122" t="str">
        <f t="shared" si="28"/>
        <v/>
      </c>
      <c r="C95" s="123" t="str">
        <f t="shared" si="29"/>
        <v/>
      </c>
      <c r="D95" s="123" t="str">
        <f t="shared" si="30"/>
        <v/>
      </c>
      <c r="E95" s="124" t="str">
        <f t="shared" si="31"/>
        <v/>
      </c>
      <c r="F95" s="125" t="str">
        <f t="shared" si="32"/>
        <v/>
      </c>
      <c r="G95" s="133" t="str">
        <f t="shared" si="33"/>
        <v/>
      </c>
      <c r="H95" s="127" t="str">
        <f t="shared" si="34"/>
        <v/>
      </c>
      <c r="J95" s="122" t="str">
        <f t="shared" si="35"/>
        <v>Argentina</v>
      </c>
      <c r="K95" s="123">
        <f t="shared" si="36"/>
        <v>1</v>
      </c>
      <c r="L95" s="123">
        <f t="shared" si="37"/>
        <v>0</v>
      </c>
      <c r="M95" s="124" t="str">
        <f t="shared" si="38"/>
        <v>Bolgariya</v>
      </c>
      <c r="N95" s="125" t="str">
        <f t="shared" si="39"/>
        <v>4-guruh</v>
      </c>
      <c r="O95" s="133">
        <f t="shared" si="40"/>
        <v>22796</v>
      </c>
      <c r="P95" s="127">
        <f t="shared" si="41"/>
        <v>1962</v>
      </c>
    </row>
    <row r="96" spans="1:16" x14ac:dyDescent="0.25">
      <c r="A96" s="132">
        <v>75</v>
      </c>
      <c r="B96" s="122" t="str">
        <f t="shared" si="28"/>
        <v/>
      </c>
      <c r="C96" s="123" t="str">
        <f t="shared" si="29"/>
        <v/>
      </c>
      <c r="D96" s="123" t="str">
        <f t="shared" si="30"/>
        <v/>
      </c>
      <c r="E96" s="124" t="str">
        <f t="shared" si="31"/>
        <v/>
      </c>
      <c r="F96" s="125" t="str">
        <f t="shared" si="32"/>
        <v/>
      </c>
      <c r="G96" s="133" t="str">
        <f t="shared" si="33"/>
        <v/>
      </c>
      <c r="H96" s="127" t="str">
        <f t="shared" si="34"/>
        <v/>
      </c>
      <c r="J96" s="122" t="str">
        <f t="shared" si="35"/>
        <v>Argentina</v>
      </c>
      <c r="K96" s="123">
        <f t="shared" si="36"/>
        <v>1</v>
      </c>
      <c r="L96" s="123">
        <f t="shared" si="37"/>
        <v>6</v>
      </c>
      <c r="M96" s="124" t="str">
        <f t="shared" si="38"/>
        <v>Chexslovakiya</v>
      </c>
      <c r="N96" s="125" t="str">
        <f t="shared" si="39"/>
        <v>1-guruh</v>
      </c>
      <c r="O96" s="133">
        <f t="shared" si="40"/>
        <v>21351</v>
      </c>
      <c r="P96" s="127">
        <f t="shared" si="41"/>
        <v>1958</v>
      </c>
    </row>
    <row r="97" spans="1:16" x14ac:dyDescent="0.25">
      <c r="A97" s="132">
        <v>76</v>
      </c>
      <c r="B97" s="122" t="str">
        <f t="shared" si="28"/>
        <v/>
      </c>
      <c r="C97" s="123" t="str">
        <f t="shared" si="29"/>
        <v/>
      </c>
      <c r="D97" s="123" t="str">
        <f t="shared" si="30"/>
        <v/>
      </c>
      <c r="E97" s="124" t="str">
        <f t="shared" si="31"/>
        <v/>
      </c>
      <c r="F97" s="125" t="str">
        <f t="shared" si="32"/>
        <v/>
      </c>
      <c r="G97" s="133" t="str">
        <f t="shared" si="33"/>
        <v/>
      </c>
      <c r="H97" s="127" t="str">
        <f t="shared" si="34"/>
        <v/>
      </c>
      <c r="J97" s="122" t="str">
        <f t="shared" si="35"/>
        <v>Argentina</v>
      </c>
      <c r="K97" s="123">
        <f t="shared" si="36"/>
        <v>3</v>
      </c>
      <c r="L97" s="123">
        <f t="shared" si="37"/>
        <v>1</v>
      </c>
      <c r="M97" s="124" t="str">
        <f t="shared" si="38"/>
        <v>Shimoliy Irlandiya</v>
      </c>
      <c r="N97" s="125" t="str">
        <f t="shared" si="39"/>
        <v>1-guruh</v>
      </c>
      <c r="O97" s="133">
        <f t="shared" si="40"/>
        <v>21347</v>
      </c>
      <c r="P97" s="127">
        <f t="shared" si="41"/>
        <v>1958</v>
      </c>
    </row>
    <row r="98" spans="1:16" x14ac:dyDescent="0.25">
      <c r="A98" s="132">
        <v>77</v>
      </c>
      <c r="B98" s="122" t="str">
        <f t="shared" si="28"/>
        <v/>
      </c>
      <c r="C98" s="123" t="str">
        <f t="shared" si="29"/>
        <v/>
      </c>
      <c r="D98" s="123" t="str">
        <f t="shared" si="30"/>
        <v/>
      </c>
      <c r="E98" s="124" t="str">
        <f t="shared" si="31"/>
        <v/>
      </c>
      <c r="F98" s="125" t="str">
        <f t="shared" si="32"/>
        <v/>
      </c>
      <c r="G98" s="133" t="str">
        <f t="shared" si="33"/>
        <v/>
      </c>
      <c r="H98" s="127" t="str">
        <f t="shared" si="34"/>
        <v/>
      </c>
      <c r="J98" s="122" t="str">
        <f t="shared" si="35"/>
        <v>Argentina</v>
      </c>
      <c r="K98" s="123">
        <f t="shared" si="36"/>
        <v>1</v>
      </c>
      <c r="L98" s="123">
        <f t="shared" si="37"/>
        <v>3</v>
      </c>
      <c r="M98" s="124" t="str">
        <f t="shared" si="38"/>
        <v>Germaniya</v>
      </c>
      <c r="N98" s="125" t="str">
        <f t="shared" si="39"/>
        <v>1-guruh</v>
      </c>
      <c r="O98" s="133">
        <f t="shared" si="40"/>
        <v>21344</v>
      </c>
      <c r="P98" s="127">
        <f t="shared" si="41"/>
        <v>1958</v>
      </c>
    </row>
    <row r="99" spans="1:16" x14ac:dyDescent="0.25">
      <c r="A99" s="132">
        <v>78</v>
      </c>
      <c r="B99" s="122" t="str">
        <f t="shared" si="28"/>
        <v/>
      </c>
      <c r="C99" s="123" t="str">
        <f t="shared" si="29"/>
        <v/>
      </c>
      <c r="D99" s="123" t="str">
        <f t="shared" si="30"/>
        <v/>
      </c>
      <c r="E99" s="124" t="str">
        <f t="shared" si="31"/>
        <v/>
      </c>
      <c r="F99" s="125" t="str">
        <f t="shared" si="32"/>
        <v/>
      </c>
      <c r="G99" s="133" t="str">
        <f t="shared" si="33"/>
        <v/>
      </c>
      <c r="H99" s="127" t="str">
        <f t="shared" si="34"/>
        <v/>
      </c>
      <c r="J99" s="122" t="str">
        <f t="shared" si="35"/>
        <v>Argentina</v>
      </c>
      <c r="K99" s="123">
        <f t="shared" si="36"/>
        <v>2</v>
      </c>
      <c r="L99" s="123">
        <f t="shared" si="37"/>
        <v>3</v>
      </c>
      <c r="M99" s="124" t="str">
        <f t="shared" si="38"/>
        <v>Shvetsiya</v>
      </c>
      <c r="N99" s="125" t="str">
        <f t="shared" si="39"/>
        <v>1-guruh</v>
      </c>
      <c r="O99" s="133">
        <f t="shared" si="40"/>
        <v>12566</v>
      </c>
      <c r="P99" s="127">
        <f t="shared" si="41"/>
        <v>1934</v>
      </c>
    </row>
    <row r="100" spans="1:16" x14ac:dyDescent="0.25">
      <c r="A100" s="132">
        <v>79</v>
      </c>
      <c r="B100" s="122" t="str">
        <f t="shared" si="28"/>
        <v/>
      </c>
      <c r="C100" s="123" t="str">
        <f t="shared" si="29"/>
        <v/>
      </c>
      <c r="D100" s="123" t="str">
        <f t="shared" si="30"/>
        <v/>
      </c>
      <c r="E100" s="124" t="str">
        <f t="shared" si="31"/>
        <v/>
      </c>
      <c r="F100" s="125" t="str">
        <f t="shared" si="32"/>
        <v/>
      </c>
      <c r="G100" s="133" t="str">
        <f t="shared" si="33"/>
        <v/>
      </c>
      <c r="H100" s="127" t="str">
        <f t="shared" si="34"/>
        <v/>
      </c>
      <c r="J100" s="122" t="str">
        <f t="shared" si="35"/>
        <v>Argentina</v>
      </c>
      <c r="K100" s="123">
        <f t="shared" si="36"/>
        <v>2</v>
      </c>
      <c r="L100" s="123">
        <f t="shared" si="37"/>
        <v>4</v>
      </c>
      <c r="M100" s="124" t="str">
        <f t="shared" si="38"/>
        <v>Urugvay</v>
      </c>
      <c r="N100" s="125" t="str">
        <f t="shared" si="39"/>
        <v>final</v>
      </c>
      <c r="O100" s="133">
        <f t="shared" si="40"/>
        <v>11169</v>
      </c>
      <c r="P100" s="127">
        <f t="shared" si="41"/>
        <v>1930</v>
      </c>
    </row>
    <row r="101" spans="1:16" x14ac:dyDescent="0.25">
      <c r="A101" s="132">
        <v>80</v>
      </c>
      <c r="B101" s="122" t="str">
        <f t="shared" si="28"/>
        <v/>
      </c>
      <c r="C101" s="123" t="str">
        <f t="shared" si="29"/>
        <v/>
      </c>
      <c r="D101" s="123" t="str">
        <f t="shared" si="30"/>
        <v/>
      </c>
      <c r="E101" s="124" t="str">
        <f t="shared" si="31"/>
        <v/>
      </c>
      <c r="F101" s="125" t="str">
        <f t="shared" si="32"/>
        <v/>
      </c>
      <c r="G101" s="133" t="str">
        <f t="shared" si="33"/>
        <v/>
      </c>
      <c r="H101" s="127" t="str">
        <f t="shared" si="34"/>
        <v/>
      </c>
      <c r="J101" s="122" t="str">
        <f t="shared" si="35"/>
        <v>Argentina</v>
      </c>
      <c r="K101" s="123">
        <f t="shared" si="36"/>
        <v>6</v>
      </c>
      <c r="L101" s="123">
        <f t="shared" si="37"/>
        <v>1</v>
      </c>
      <c r="M101" s="124" t="str">
        <f t="shared" si="38"/>
        <v>AQSh</v>
      </c>
      <c r="N101" s="125" t="str">
        <f t="shared" si="39"/>
        <v>yarim final</v>
      </c>
      <c r="O101" s="133">
        <f t="shared" si="40"/>
        <v>11165</v>
      </c>
      <c r="P101" s="127">
        <f t="shared" si="41"/>
        <v>1930</v>
      </c>
    </row>
    <row r="102" spans="1:16" x14ac:dyDescent="0.25">
      <c r="A102" s="132">
        <v>81</v>
      </c>
      <c r="B102" s="122" t="str">
        <f t="shared" si="28"/>
        <v/>
      </c>
      <c r="C102" s="123" t="str">
        <f t="shared" si="29"/>
        <v/>
      </c>
      <c r="D102" s="123" t="str">
        <f t="shared" si="30"/>
        <v/>
      </c>
      <c r="E102" s="124" t="str">
        <f t="shared" si="31"/>
        <v/>
      </c>
      <c r="F102" s="125" t="str">
        <f t="shared" si="32"/>
        <v/>
      </c>
      <c r="G102" s="133" t="str">
        <f t="shared" si="33"/>
        <v/>
      </c>
      <c r="H102" s="127" t="str">
        <f t="shared" si="34"/>
        <v/>
      </c>
      <c r="J102" s="122" t="str">
        <f t="shared" si="35"/>
        <v>Argentina</v>
      </c>
      <c r="K102" s="123">
        <f t="shared" si="36"/>
        <v>3</v>
      </c>
      <c r="L102" s="123">
        <f t="shared" si="37"/>
        <v>1</v>
      </c>
      <c r="M102" s="124" t="str">
        <f t="shared" si="38"/>
        <v>Chili</v>
      </c>
      <c r="N102" s="125" t="str">
        <f t="shared" si="39"/>
        <v>1-guruh</v>
      </c>
      <c r="O102" s="133">
        <f t="shared" si="40"/>
        <v>11161</v>
      </c>
      <c r="P102" s="127">
        <f t="shared" si="41"/>
        <v>1930</v>
      </c>
    </row>
    <row r="103" spans="1:16" x14ac:dyDescent="0.25">
      <c r="A103" s="132">
        <v>82</v>
      </c>
      <c r="B103" s="122" t="str">
        <f t="shared" si="28"/>
        <v/>
      </c>
      <c r="C103" s="123" t="str">
        <f t="shared" si="29"/>
        <v/>
      </c>
      <c r="D103" s="123" t="str">
        <f t="shared" si="30"/>
        <v/>
      </c>
      <c r="E103" s="124" t="str">
        <f t="shared" si="31"/>
        <v/>
      </c>
      <c r="F103" s="125" t="str">
        <f t="shared" si="32"/>
        <v/>
      </c>
      <c r="G103" s="133" t="str">
        <f t="shared" si="33"/>
        <v/>
      </c>
      <c r="H103" s="127" t="str">
        <f t="shared" si="34"/>
        <v/>
      </c>
      <c r="J103" s="122" t="str">
        <f t="shared" si="35"/>
        <v>Argentina</v>
      </c>
      <c r="K103" s="123">
        <f t="shared" si="36"/>
        <v>6</v>
      </c>
      <c r="L103" s="123">
        <f t="shared" si="37"/>
        <v>3</v>
      </c>
      <c r="M103" s="124" t="str">
        <f t="shared" si="38"/>
        <v>Meksika</v>
      </c>
      <c r="N103" s="125" t="str">
        <f t="shared" si="39"/>
        <v>1-guruh</v>
      </c>
      <c r="O103" s="133">
        <f t="shared" si="40"/>
        <v>11158</v>
      </c>
      <c r="P103" s="127">
        <f t="shared" si="41"/>
        <v>1930</v>
      </c>
    </row>
    <row r="104" spans="1:16" x14ac:dyDescent="0.25">
      <c r="A104" s="132">
        <v>83</v>
      </c>
      <c r="B104" s="122" t="str">
        <f t="shared" si="28"/>
        <v/>
      </c>
      <c r="C104" s="123" t="str">
        <f t="shared" si="29"/>
        <v/>
      </c>
      <c r="D104" s="123" t="str">
        <f t="shared" si="30"/>
        <v/>
      </c>
      <c r="E104" s="124" t="str">
        <f t="shared" si="31"/>
        <v/>
      </c>
      <c r="F104" s="125" t="str">
        <f t="shared" si="32"/>
        <v/>
      </c>
      <c r="G104" s="133" t="str">
        <f t="shared" si="33"/>
        <v/>
      </c>
      <c r="H104" s="127" t="str">
        <f t="shared" si="34"/>
        <v/>
      </c>
      <c r="J104" s="122" t="str">
        <f t="shared" si="35"/>
        <v>Argentina</v>
      </c>
      <c r="K104" s="123">
        <f t="shared" si="36"/>
        <v>1</v>
      </c>
      <c r="L104" s="123">
        <f t="shared" si="37"/>
        <v>0</v>
      </c>
      <c r="M104" s="124" t="str">
        <f t="shared" si="38"/>
        <v>Fransiya</v>
      </c>
      <c r="N104" s="125" t="str">
        <f t="shared" si="39"/>
        <v>1-guruh</v>
      </c>
      <c r="O104" s="133">
        <f t="shared" si="40"/>
        <v>11154</v>
      </c>
      <c r="P104" s="127">
        <f t="shared" si="41"/>
        <v>1930</v>
      </c>
    </row>
    <row r="105" spans="1:16" x14ac:dyDescent="0.25">
      <c r="A105" s="132">
        <v>84</v>
      </c>
      <c r="B105" s="122" t="str">
        <f t="shared" si="28"/>
        <v/>
      </c>
      <c r="C105" s="123" t="str">
        <f t="shared" si="29"/>
        <v/>
      </c>
      <c r="D105" s="123" t="str">
        <f t="shared" si="30"/>
        <v/>
      </c>
      <c r="E105" s="124" t="str">
        <f t="shared" si="31"/>
        <v/>
      </c>
      <c r="F105" s="125" t="str">
        <f t="shared" si="32"/>
        <v/>
      </c>
      <c r="G105" s="133" t="str">
        <f t="shared" si="33"/>
        <v/>
      </c>
      <c r="H105" s="127" t="str">
        <f t="shared" si="34"/>
        <v/>
      </c>
      <c r="J105" s="122" t="str">
        <f t="shared" si="35"/>
        <v/>
      </c>
      <c r="K105" s="123" t="str">
        <f t="shared" si="36"/>
        <v/>
      </c>
      <c r="L105" s="123" t="str">
        <f t="shared" si="37"/>
        <v/>
      </c>
      <c r="M105" s="124" t="str">
        <f t="shared" si="38"/>
        <v/>
      </c>
      <c r="N105" s="125" t="str">
        <f t="shared" si="39"/>
        <v/>
      </c>
      <c r="O105" s="133" t="str">
        <f t="shared" si="40"/>
        <v/>
      </c>
      <c r="P105" s="127" t="str">
        <f t="shared" si="41"/>
        <v/>
      </c>
    </row>
    <row r="106" spans="1:16" x14ac:dyDescent="0.25">
      <c r="A106" s="132">
        <v>85</v>
      </c>
      <c r="B106" s="122" t="str">
        <f t="shared" si="28"/>
        <v/>
      </c>
      <c r="C106" s="123" t="str">
        <f t="shared" si="29"/>
        <v/>
      </c>
      <c r="D106" s="123" t="str">
        <f t="shared" si="30"/>
        <v/>
      </c>
      <c r="E106" s="124" t="str">
        <f t="shared" si="31"/>
        <v/>
      </c>
      <c r="F106" s="125" t="str">
        <f t="shared" si="32"/>
        <v/>
      </c>
      <c r="G106" s="133" t="str">
        <f t="shared" si="33"/>
        <v/>
      </c>
      <c r="H106" s="127" t="str">
        <f t="shared" si="34"/>
        <v/>
      </c>
      <c r="J106" s="122" t="str">
        <f t="shared" si="35"/>
        <v/>
      </c>
      <c r="K106" s="123" t="str">
        <f t="shared" si="36"/>
        <v/>
      </c>
      <c r="L106" s="123" t="str">
        <f t="shared" si="37"/>
        <v/>
      </c>
      <c r="M106" s="124" t="str">
        <f t="shared" si="38"/>
        <v/>
      </c>
      <c r="N106" s="125" t="str">
        <f t="shared" si="39"/>
        <v/>
      </c>
      <c r="O106" s="133" t="str">
        <f t="shared" si="40"/>
        <v/>
      </c>
      <c r="P106" s="127" t="str">
        <f t="shared" si="41"/>
        <v/>
      </c>
    </row>
    <row r="107" spans="1:16" x14ac:dyDescent="0.25">
      <c r="A107" s="132">
        <v>86</v>
      </c>
      <c r="B107" s="122" t="str">
        <f t="shared" si="28"/>
        <v/>
      </c>
      <c r="C107" s="123" t="str">
        <f t="shared" si="29"/>
        <v/>
      </c>
      <c r="D107" s="123" t="str">
        <f t="shared" si="30"/>
        <v/>
      </c>
      <c r="E107" s="124" t="str">
        <f t="shared" si="31"/>
        <v/>
      </c>
      <c r="F107" s="125" t="str">
        <f t="shared" si="32"/>
        <v/>
      </c>
      <c r="G107" s="133" t="str">
        <f t="shared" si="33"/>
        <v/>
      </c>
      <c r="H107" s="127" t="str">
        <f t="shared" si="34"/>
        <v/>
      </c>
      <c r="J107" s="122" t="str">
        <f t="shared" si="35"/>
        <v/>
      </c>
      <c r="K107" s="123" t="str">
        <f t="shared" si="36"/>
        <v/>
      </c>
      <c r="L107" s="123" t="str">
        <f t="shared" si="37"/>
        <v/>
      </c>
      <c r="M107" s="124" t="str">
        <f t="shared" si="38"/>
        <v/>
      </c>
      <c r="N107" s="125" t="str">
        <f t="shared" si="39"/>
        <v/>
      </c>
      <c r="O107" s="133" t="str">
        <f t="shared" si="40"/>
        <v/>
      </c>
      <c r="P107" s="127" t="str">
        <f t="shared" si="41"/>
        <v/>
      </c>
    </row>
    <row r="108" spans="1:16" x14ac:dyDescent="0.25">
      <c r="A108" s="132">
        <v>87</v>
      </c>
      <c r="B108" s="122" t="str">
        <f t="shared" si="28"/>
        <v/>
      </c>
      <c r="C108" s="123" t="str">
        <f t="shared" si="29"/>
        <v/>
      </c>
      <c r="D108" s="123" t="str">
        <f t="shared" si="30"/>
        <v/>
      </c>
      <c r="E108" s="124" t="str">
        <f t="shared" si="31"/>
        <v/>
      </c>
      <c r="F108" s="125" t="str">
        <f t="shared" si="32"/>
        <v/>
      </c>
      <c r="G108" s="133" t="str">
        <f t="shared" si="33"/>
        <v/>
      </c>
      <c r="H108" s="127" t="str">
        <f t="shared" si="34"/>
        <v/>
      </c>
      <c r="J108" s="122" t="str">
        <f t="shared" si="35"/>
        <v/>
      </c>
      <c r="K108" s="123" t="str">
        <f t="shared" si="36"/>
        <v/>
      </c>
      <c r="L108" s="123" t="str">
        <f t="shared" si="37"/>
        <v/>
      </c>
      <c r="M108" s="124" t="str">
        <f t="shared" si="38"/>
        <v/>
      </c>
      <c r="N108" s="125" t="str">
        <f t="shared" si="39"/>
        <v/>
      </c>
      <c r="O108" s="133" t="str">
        <f t="shared" si="40"/>
        <v/>
      </c>
      <c r="P108" s="127" t="str">
        <f t="shared" si="41"/>
        <v/>
      </c>
    </row>
    <row r="109" spans="1:16" x14ac:dyDescent="0.25">
      <c r="A109" s="132">
        <v>88</v>
      </c>
      <c r="B109" s="122" t="str">
        <f t="shared" si="28"/>
        <v/>
      </c>
      <c r="C109" s="123" t="str">
        <f t="shared" si="29"/>
        <v/>
      </c>
      <c r="D109" s="123" t="str">
        <f t="shared" si="30"/>
        <v/>
      </c>
      <c r="E109" s="124" t="str">
        <f t="shared" si="31"/>
        <v/>
      </c>
      <c r="F109" s="125" t="str">
        <f t="shared" si="32"/>
        <v/>
      </c>
      <c r="G109" s="133" t="str">
        <f t="shared" si="33"/>
        <v/>
      </c>
      <c r="H109" s="127" t="str">
        <f t="shared" si="34"/>
        <v/>
      </c>
      <c r="J109" s="122" t="str">
        <f t="shared" si="35"/>
        <v/>
      </c>
      <c r="K109" s="123" t="str">
        <f t="shared" si="36"/>
        <v/>
      </c>
      <c r="L109" s="123" t="str">
        <f t="shared" si="37"/>
        <v/>
      </c>
      <c r="M109" s="124" t="str">
        <f t="shared" si="38"/>
        <v/>
      </c>
      <c r="N109" s="125" t="str">
        <f t="shared" si="39"/>
        <v/>
      </c>
      <c r="O109" s="133" t="str">
        <f t="shared" si="40"/>
        <v/>
      </c>
      <c r="P109" s="127" t="str">
        <f t="shared" si="41"/>
        <v/>
      </c>
    </row>
    <row r="110" spans="1:16" x14ac:dyDescent="0.25">
      <c r="A110" s="132">
        <v>89</v>
      </c>
      <c r="B110" s="122" t="str">
        <f t="shared" si="28"/>
        <v/>
      </c>
      <c r="C110" s="123" t="str">
        <f t="shared" si="29"/>
        <v/>
      </c>
      <c r="D110" s="123" t="str">
        <f t="shared" si="30"/>
        <v/>
      </c>
      <c r="E110" s="124" t="str">
        <f t="shared" si="31"/>
        <v/>
      </c>
      <c r="F110" s="125" t="str">
        <f t="shared" si="32"/>
        <v/>
      </c>
      <c r="G110" s="133" t="str">
        <f t="shared" si="33"/>
        <v/>
      </c>
      <c r="H110" s="127" t="str">
        <f t="shared" si="34"/>
        <v/>
      </c>
      <c r="J110" s="122" t="str">
        <f t="shared" si="35"/>
        <v/>
      </c>
      <c r="K110" s="123" t="str">
        <f t="shared" si="36"/>
        <v/>
      </c>
      <c r="L110" s="123" t="str">
        <f t="shared" si="37"/>
        <v/>
      </c>
      <c r="M110" s="124" t="str">
        <f t="shared" si="38"/>
        <v/>
      </c>
      <c r="N110" s="125" t="str">
        <f t="shared" si="39"/>
        <v/>
      </c>
      <c r="O110" s="133" t="str">
        <f t="shared" si="40"/>
        <v/>
      </c>
      <c r="P110" s="127" t="str">
        <f t="shared" si="41"/>
        <v/>
      </c>
    </row>
    <row r="111" spans="1:16" x14ac:dyDescent="0.25">
      <c r="A111" s="132">
        <v>90</v>
      </c>
      <c r="B111" s="122" t="str">
        <f t="shared" si="28"/>
        <v/>
      </c>
      <c r="C111" s="123" t="str">
        <f t="shared" si="29"/>
        <v/>
      </c>
      <c r="D111" s="123" t="str">
        <f t="shared" si="30"/>
        <v/>
      </c>
      <c r="E111" s="124" t="str">
        <f t="shared" si="31"/>
        <v/>
      </c>
      <c r="F111" s="125" t="str">
        <f t="shared" si="32"/>
        <v/>
      </c>
      <c r="G111" s="133" t="str">
        <f t="shared" si="33"/>
        <v/>
      </c>
      <c r="H111" s="127" t="str">
        <f t="shared" si="34"/>
        <v/>
      </c>
      <c r="J111" s="122" t="str">
        <f t="shared" si="35"/>
        <v/>
      </c>
      <c r="K111" s="123" t="str">
        <f t="shared" si="36"/>
        <v/>
      </c>
      <c r="L111" s="123" t="str">
        <f t="shared" si="37"/>
        <v/>
      </c>
      <c r="M111" s="124" t="str">
        <f t="shared" si="38"/>
        <v/>
      </c>
      <c r="N111" s="125" t="str">
        <f t="shared" si="39"/>
        <v/>
      </c>
      <c r="O111" s="133" t="str">
        <f t="shared" si="40"/>
        <v/>
      </c>
      <c r="P111" s="127" t="str">
        <f t="shared" si="41"/>
        <v/>
      </c>
    </row>
    <row r="112" spans="1:16" x14ac:dyDescent="0.25">
      <c r="A112" s="132">
        <v>91</v>
      </c>
      <c r="B112" s="122" t="str">
        <f t="shared" si="28"/>
        <v/>
      </c>
      <c r="C112" s="123" t="str">
        <f t="shared" si="29"/>
        <v/>
      </c>
      <c r="D112" s="123" t="str">
        <f t="shared" si="30"/>
        <v/>
      </c>
      <c r="E112" s="124" t="str">
        <f t="shared" si="31"/>
        <v/>
      </c>
      <c r="F112" s="125" t="str">
        <f t="shared" si="32"/>
        <v/>
      </c>
      <c r="G112" s="133" t="str">
        <f t="shared" si="33"/>
        <v/>
      </c>
      <c r="H112" s="127" t="str">
        <f t="shared" si="34"/>
        <v/>
      </c>
      <c r="J112" s="122" t="str">
        <f t="shared" si="35"/>
        <v/>
      </c>
      <c r="K112" s="123" t="str">
        <f t="shared" si="36"/>
        <v/>
      </c>
      <c r="L112" s="123" t="str">
        <f t="shared" si="37"/>
        <v/>
      </c>
      <c r="M112" s="124" t="str">
        <f t="shared" si="38"/>
        <v/>
      </c>
      <c r="N112" s="125" t="str">
        <f t="shared" si="39"/>
        <v/>
      </c>
      <c r="O112" s="133" t="str">
        <f t="shared" si="40"/>
        <v/>
      </c>
      <c r="P112" s="127" t="str">
        <f t="shared" si="41"/>
        <v/>
      </c>
    </row>
    <row r="113" spans="1:16" x14ac:dyDescent="0.25">
      <c r="A113" s="132">
        <v>92</v>
      </c>
      <c r="B113" s="122" t="str">
        <f t="shared" si="28"/>
        <v/>
      </c>
      <c r="C113" s="123" t="str">
        <f t="shared" si="29"/>
        <v/>
      </c>
      <c r="D113" s="123" t="str">
        <f t="shared" si="30"/>
        <v/>
      </c>
      <c r="E113" s="124" t="str">
        <f t="shared" si="31"/>
        <v/>
      </c>
      <c r="F113" s="125" t="str">
        <f t="shared" si="32"/>
        <v/>
      </c>
      <c r="G113" s="133" t="str">
        <f t="shared" si="33"/>
        <v/>
      </c>
      <c r="H113" s="127" t="str">
        <f t="shared" si="34"/>
        <v/>
      </c>
      <c r="J113" s="122" t="str">
        <f t="shared" si="35"/>
        <v/>
      </c>
      <c r="K113" s="123" t="str">
        <f t="shared" si="36"/>
        <v/>
      </c>
      <c r="L113" s="123" t="str">
        <f t="shared" si="37"/>
        <v/>
      </c>
      <c r="M113" s="124" t="str">
        <f t="shared" si="38"/>
        <v/>
      </c>
      <c r="N113" s="125" t="str">
        <f t="shared" si="39"/>
        <v/>
      </c>
      <c r="O113" s="133" t="str">
        <f t="shared" si="40"/>
        <v/>
      </c>
      <c r="P113" s="127" t="str">
        <f t="shared" si="41"/>
        <v/>
      </c>
    </row>
    <row r="114" spans="1:16" x14ac:dyDescent="0.25">
      <c r="A114" s="132">
        <v>93</v>
      </c>
      <c r="B114" s="122" t="str">
        <f t="shared" si="28"/>
        <v/>
      </c>
      <c r="C114" s="123" t="str">
        <f t="shared" si="29"/>
        <v/>
      </c>
      <c r="D114" s="123" t="str">
        <f t="shared" si="30"/>
        <v/>
      </c>
      <c r="E114" s="124" t="str">
        <f t="shared" si="31"/>
        <v/>
      </c>
      <c r="F114" s="125" t="str">
        <f t="shared" si="32"/>
        <v/>
      </c>
      <c r="G114" s="133" t="str">
        <f t="shared" si="33"/>
        <v/>
      </c>
      <c r="H114" s="127" t="str">
        <f t="shared" si="34"/>
        <v/>
      </c>
      <c r="J114" s="122" t="str">
        <f t="shared" si="35"/>
        <v/>
      </c>
      <c r="K114" s="123" t="str">
        <f t="shared" si="36"/>
        <v/>
      </c>
      <c r="L114" s="123" t="str">
        <f t="shared" si="37"/>
        <v/>
      </c>
      <c r="M114" s="124" t="str">
        <f t="shared" si="38"/>
        <v/>
      </c>
      <c r="N114" s="125" t="str">
        <f t="shared" si="39"/>
        <v/>
      </c>
      <c r="O114" s="133" t="str">
        <f t="shared" si="40"/>
        <v/>
      </c>
      <c r="P114" s="127" t="str">
        <f t="shared" si="41"/>
        <v/>
      </c>
    </row>
    <row r="115" spans="1:16" x14ac:dyDescent="0.25">
      <c r="A115" s="132">
        <v>94</v>
      </c>
      <c r="B115" s="122" t="str">
        <f t="shared" si="28"/>
        <v/>
      </c>
      <c r="C115" s="123" t="str">
        <f t="shared" si="29"/>
        <v/>
      </c>
      <c r="D115" s="123" t="str">
        <f t="shared" si="30"/>
        <v/>
      </c>
      <c r="E115" s="124" t="str">
        <f t="shared" si="31"/>
        <v/>
      </c>
      <c r="F115" s="125" t="str">
        <f t="shared" si="32"/>
        <v/>
      </c>
      <c r="G115" s="133" t="str">
        <f t="shared" si="33"/>
        <v/>
      </c>
      <c r="H115" s="127" t="str">
        <f t="shared" si="34"/>
        <v/>
      </c>
      <c r="J115" s="122" t="str">
        <f t="shared" si="35"/>
        <v/>
      </c>
      <c r="K115" s="123" t="str">
        <f t="shared" si="36"/>
        <v/>
      </c>
      <c r="L115" s="123" t="str">
        <f t="shared" si="37"/>
        <v/>
      </c>
      <c r="M115" s="124" t="str">
        <f t="shared" si="38"/>
        <v/>
      </c>
      <c r="N115" s="125" t="str">
        <f t="shared" si="39"/>
        <v/>
      </c>
      <c r="O115" s="133" t="str">
        <f t="shared" si="40"/>
        <v/>
      </c>
      <c r="P115" s="127" t="str">
        <f t="shared" si="41"/>
        <v/>
      </c>
    </row>
    <row r="116" spans="1:16" x14ac:dyDescent="0.25">
      <c r="A116" s="132">
        <v>95</v>
      </c>
      <c r="B116" s="122" t="str">
        <f t="shared" si="28"/>
        <v/>
      </c>
      <c r="C116" s="123" t="str">
        <f t="shared" si="29"/>
        <v/>
      </c>
      <c r="D116" s="123" t="str">
        <f t="shared" si="30"/>
        <v/>
      </c>
      <c r="E116" s="124" t="str">
        <f t="shared" si="31"/>
        <v/>
      </c>
      <c r="F116" s="125" t="str">
        <f t="shared" si="32"/>
        <v/>
      </c>
      <c r="G116" s="133" t="str">
        <f t="shared" si="33"/>
        <v/>
      </c>
      <c r="H116" s="127" t="str">
        <f t="shared" si="34"/>
        <v/>
      </c>
      <c r="J116" s="122" t="str">
        <f t="shared" si="35"/>
        <v/>
      </c>
      <c r="K116" s="123" t="str">
        <f t="shared" si="36"/>
        <v/>
      </c>
      <c r="L116" s="123" t="str">
        <f t="shared" si="37"/>
        <v/>
      </c>
      <c r="M116" s="124" t="str">
        <f t="shared" si="38"/>
        <v/>
      </c>
      <c r="N116" s="125" t="str">
        <f t="shared" si="39"/>
        <v/>
      </c>
      <c r="O116" s="133" t="str">
        <f t="shared" si="40"/>
        <v/>
      </c>
      <c r="P116" s="127" t="str">
        <f t="shared" si="41"/>
        <v/>
      </c>
    </row>
    <row r="117" spans="1:16" x14ac:dyDescent="0.25">
      <c r="A117" s="132">
        <v>96</v>
      </c>
      <c r="B117" s="122" t="str">
        <f t="shared" si="28"/>
        <v/>
      </c>
      <c r="C117" s="123" t="str">
        <f t="shared" si="29"/>
        <v/>
      </c>
      <c r="D117" s="123" t="str">
        <f t="shared" si="30"/>
        <v/>
      </c>
      <c r="E117" s="124" t="str">
        <f t="shared" si="31"/>
        <v/>
      </c>
      <c r="F117" s="125" t="str">
        <f t="shared" si="32"/>
        <v/>
      </c>
      <c r="G117" s="133" t="str">
        <f t="shared" si="33"/>
        <v/>
      </c>
      <c r="H117" s="127" t="str">
        <f t="shared" si="34"/>
        <v/>
      </c>
      <c r="J117" s="122" t="str">
        <f t="shared" si="35"/>
        <v/>
      </c>
      <c r="K117" s="123" t="str">
        <f t="shared" si="36"/>
        <v/>
      </c>
      <c r="L117" s="123" t="str">
        <f t="shared" si="37"/>
        <v/>
      </c>
      <c r="M117" s="124" t="str">
        <f t="shared" si="38"/>
        <v/>
      </c>
      <c r="N117" s="125" t="str">
        <f t="shared" si="39"/>
        <v/>
      </c>
      <c r="O117" s="133" t="str">
        <f t="shared" si="40"/>
        <v/>
      </c>
      <c r="P117" s="127" t="str">
        <f t="shared" si="41"/>
        <v/>
      </c>
    </row>
    <row r="118" spans="1:16" x14ac:dyDescent="0.25">
      <c r="A118" s="132">
        <v>97</v>
      </c>
      <c r="B118" s="122" t="str">
        <f t="shared" ref="B118:B141" si="42">IFERROR(VLOOKUP($A118,db_t1,8,FALSE),"")</f>
        <v/>
      </c>
      <c r="C118" s="123" t="str">
        <f t="shared" ref="C118:C141" si="43">IFERROR(VLOOKUP($A118,db_t1,9,FALSE),"")</f>
        <v/>
      </c>
      <c r="D118" s="123" t="str">
        <f t="shared" ref="D118:D141" si="44">IFERROR(VLOOKUP($A118,db_t1,10,FALSE),"")</f>
        <v/>
      </c>
      <c r="E118" s="124" t="str">
        <f t="shared" ref="E118:E141" si="45">IFERROR(VLOOKUP($A118,db_t1,11,FALSE),"")</f>
        <v/>
      </c>
      <c r="F118" s="125" t="str">
        <f t="shared" ref="F118:F141" si="46">IFERROR(VLOOKUP($A118,db_t1,6,FALSE),"")</f>
        <v/>
      </c>
      <c r="G118" s="133" t="str">
        <f t="shared" ref="G118:G141" si="47">IFERROR(VLOOKUP($A118,db_t1,4,FALSE),"")</f>
        <v/>
      </c>
      <c r="H118" s="127" t="str">
        <f t="shared" ref="H118:H141" si="48">IFERROR(VLOOKUP($A118,db_t1,5,FALSE),"")</f>
        <v/>
      </c>
      <c r="J118" s="122" t="str">
        <f t="shared" ref="J118:J141" si="49">IFERROR(VLOOKUP($A118,db_t2,7,FALSE),"")</f>
        <v/>
      </c>
      <c r="K118" s="123" t="str">
        <f t="shared" ref="K118:K141" si="50">IFERROR(VLOOKUP($A118,db_t2,8,FALSE),"")</f>
        <v/>
      </c>
      <c r="L118" s="123" t="str">
        <f t="shared" ref="L118:L141" si="51">IFERROR(VLOOKUP($A118,db_t2,9,FALSE),"")</f>
        <v/>
      </c>
      <c r="M118" s="124" t="str">
        <f t="shared" ref="M118:M141" si="52">IFERROR(VLOOKUP($A118,db_t2,10,FALSE),"")</f>
        <v/>
      </c>
      <c r="N118" s="125" t="str">
        <f t="shared" ref="N118:N141" si="53">IFERROR(VLOOKUP($A118,db_t2,5,FALSE),"")</f>
        <v/>
      </c>
      <c r="O118" s="133" t="str">
        <f t="shared" ref="O118:O141" si="54">IFERROR(VLOOKUP($A118,db_t2,3,FALSE),"")</f>
        <v/>
      </c>
      <c r="P118" s="127" t="str">
        <f t="shared" ref="P118:P141" si="55">IFERROR(VLOOKUP($A118,db_t2,4,FALSE),"")</f>
        <v/>
      </c>
    </row>
    <row r="119" spans="1:16" x14ac:dyDescent="0.25">
      <c r="A119" s="132">
        <v>98</v>
      </c>
      <c r="B119" s="122" t="str">
        <f t="shared" si="42"/>
        <v/>
      </c>
      <c r="C119" s="123" t="str">
        <f t="shared" si="43"/>
        <v/>
      </c>
      <c r="D119" s="123" t="str">
        <f t="shared" si="44"/>
        <v/>
      </c>
      <c r="E119" s="124" t="str">
        <f t="shared" si="45"/>
        <v/>
      </c>
      <c r="F119" s="125" t="str">
        <f t="shared" si="46"/>
        <v/>
      </c>
      <c r="G119" s="133" t="str">
        <f t="shared" si="47"/>
        <v/>
      </c>
      <c r="H119" s="127" t="str">
        <f t="shared" si="48"/>
        <v/>
      </c>
      <c r="J119" s="122" t="str">
        <f t="shared" si="49"/>
        <v/>
      </c>
      <c r="K119" s="123" t="str">
        <f t="shared" si="50"/>
        <v/>
      </c>
      <c r="L119" s="123" t="str">
        <f t="shared" si="51"/>
        <v/>
      </c>
      <c r="M119" s="124" t="str">
        <f t="shared" si="52"/>
        <v/>
      </c>
      <c r="N119" s="125" t="str">
        <f t="shared" si="53"/>
        <v/>
      </c>
      <c r="O119" s="133" t="str">
        <f t="shared" si="54"/>
        <v/>
      </c>
      <c r="P119" s="127" t="str">
        <f t="shared" si="55"/>
        <v/>
      </c>
    </row>
    <row r="120" spans="1:16" x14ac:dyDescent="0.25">
      <c r="A120" s="132">
        <v>99</v>
      </c>
      <c r="B120" s="122" t="str">
        <f t="shared" si="42"/>
        <v/>
      </c>
      <c r="C120" s="123" t="str">
        <f t="shared" si="43"/>
        <v/>
      </c>
      <c r="D120" s="123" t="str">
        <f t="shared" si="44"/>
        <v/>
      </c>
      <c r="E120" s="124" t="str">
        <f t="shared" si="45"/>
        <v/>
      </c>
      <c r="F120" s="125" t="str">
        <f t="shared" si="46"/>
        <v/>
      </c>
      <c r="G120" s="133" t="str">
        <f t="shared" si="47"/>
        <v/>
      </c>
      <c r="H120" s="127" t="str">
        <f t="shared" si="48"/>
        <v/>
      </c>
      <c r="J120" s="122" t="str">
        <f t="shared" si="49"/>
        <v/>
      </c>
      <c r="K120" s="123" t="str">
        <f t="shared" si="50"/>
        <v/>
      </c>
      <c r="L120" s="123" t="str">
        <f t="shared" si="51"/>
        <v/>
      </c>
      <c r="M120" s="124" t="str">
        <f t="shared" si="52"/>
        <v/>
      </c>
      <c r="N120" s="125" t="str">
        <f t="shared" si="53"/>
        <v/>
      </c>
      <c r="O120" s="133" t="str">
        <f t="shared" si="54"/>
        <v/>
      </c>
      <c r="P120" s="127" t="str">
        <f t="shared" si="55"/>
        <v/>
      </c>
    </row>
    <row r="121" spans="1:16" x14ac:dyDescent="0.25">
      <c r="A121" s="132">
        <v>100</v>
      </c>
      <c r="B121" s="122" t="str">
        <f t="shared" si="42"/>
        <v/>
      </c>
      <c r="C121" s="123" t="str">
        <f t="shared" si="43"/>
        <v/>
      </c>
      <c r="D121" s="123" t="str">
        <f t="shared" si="44"/>
        <v/>
      </c>
      <c r="E121" s="124" t="str">
        <f t="shared" si="45"/>
        <v/>
      </c>
      <c r="F121" s="125" t="str">
        <f t="shared" si="46"/>
        <v/>
      </c>
      <c r="G121" s="133" t="str">
        <f t="shared" si="47"/>
        <v/>
      </c>
      <c r="H121" s="127" t="str">
        <f t="shared" si="48"/>
        <v/>
      </c>
      <c r="J121" s="122" t="str">
        <f t="shared" si="49"/>
        <v/>
      </c>
      <c r="K121" s="123" t="str">
        <f t="shared" si="50"/>
        <v/>
      </c>
      <c r="L121" s="123" t="str">
        <f t="shared" si="51"/>
        <v/>
      </c>
      <c r="M121" s="124" t="str">
        <f t="shared" si="52"/>
        <v/>
      </c>
      <c r="N121" s="125" t="str">
        <f t="shared" si="53"/>
        <v/>
      </c>
      <c r="O121" s="133" t="str">
        <f t="shared" si="54"/>
        <v/>
      </c>
      <c r="P121" s="127" t="str">
        <f t="shared" si="55"/>
        <v/>
      </c>
    </row>
    <row r="122" spans="1:16" x14ac:dyDescent="0.25">
      <c r="A122" s="132">
        <v>101</v>
      </c>
      <c r="B122" s="122" t="str">
        <f t="shared" si="42"/>
        <v/>
      </c>
      <c r="C122" s="123" t="str">
        <f t="shared" si="43"/>
        <v/>
      </c>
      <c r="D122" s="123" t="str">
        <f t="shared" si="44"/>
        <v/>
      </c>
      <c r="E122" s="124" t="str">
        <f t="shared" si="45"/>
        <v/>
      </c>
      <c r="F122" s="125" t="str">
        <f t="shared" si="46"/>
        <v/>
      </c>
      <c r="G122" s="133" t="str">
        <f t="shared" si="47"/>
        <v/>
      </c>
      <c r="H122" s="127" t="str">
        <f t="shared" si="48"/>
        <v/>
      </c>
      <c r="J122" s="122" t="str">
        <f t="shared" si="49"/>
        <v/>
      </c>
      <c r="K122" s="123" t="str">
        <f t="shared" si="50"/>
        <v/>
      </c>
      <c r="L122" s="123" t="str">
        <f t="shared" si="51"/>
        <v/>
      </c>
      <c r="M122" s="124" t="str">
        <f t="shared" si="52"/>
        <v/>
      </c>
      <c r="N122" s="125" t="str">
        <f t="shared" si="53"/>
        <v/>
      </c>
      <c r="O122" s="133" t="str">
        <f t="shared" si="54"/>
        <v/>
      </c>
      <c r="P122" s="127" t="str">
        <f t="shared" si="55"/>
        <v/>
      </c>
    </row>
    <row r="123" spans="1:16" x14ac:dyDescent="0.25">
      <c r="A123" s="132">
        <v>102</v>
      </c>
      <c r="B123" s="122" t="str">
        <f t="shared" si="42"/>
        <v/>
      </c>
      <c r="C123" s="123" t="str">
        <f t="shared" si="43"/>
        <v/>
      </c>
      <c r="D123" s="123" t="str">
        <f t="shared" si="44"/>
        <v/>
      </c>
      <c r="E123" s="124" t="str">
        <f t="shared" si="45"/>
        <v/>
      </c>
      <c r="F123" s="125" t="str">
        <f t="shared" si="46"/>
        <v/>
      </c>
      <c r="G123" s="133" t="str">
        <f t="shared" si="47"/>
        <v/>
      </c>
      <c r="H123" s="127" t="str">
        <f t="shared" si="48"/>
        <v/>
      </c>
      <c r="J123" s="122" t="str">
        <f t="shared" si="49"/>
        <v/>
      </c>
      <c r="K123" s="123" t="str">
        <f t="shared" si="50"/>
        <v/>
      </c>
      <c r="L123" s="123" t="str">
        <f t="shared" si="51"/>
        <v/>
      </c>
      <c r="M123" s="124" t="str">
        <f t="shared" si="52"/>
        <v/>
      </c>
      <c r="N123" s="125" t="str">
        <f t="shared" si="53"/>
        <v/>
      </c>
      <c r="O123" s="133" t="str">
        <f t="shared" si="54"/>
        <v/>
      </c>
      <c r="P123" s="127" t="str">
        <f t="shared" si="55"/>
        <v/>
      </c>
    </row>
    <row r="124" spans="1:16" x14ac:dyDescent="0.25">
      <c r="A124" s="132">
        <v>103</v>
      </c>
      <c r="B124" s="122" t="str">
        <f t="shared" si="42"/>
        <v/>
      </c>
      <c r="C124" s="123" t="str">
        <f t="shared" si="43"/>
        <v/>
      </c>
      <c r="D124" s="123" t="str">
        <f t="shared" si="44"/>
        <v/>
      </c>
      <c r="E124" s="124" t="str">
        <f t="shared" si="45"/>
        <v/>
      </c>
      <c r="F124" s="125" t="str">
        <f t="shared" si="46"/>
        <v/>
      </c>
      <c r="G124" s="133" t="str">
        <f t="shared" si="47"/>
        <v/>
      </c>
      <c r="H124" s="127" t="str">
        <f t="shared" si="48"/>
        <v/>
      </c>
      <c r="J124" s="122" t="str">
        <f t="shared" si="49"/>
        <v/>
      </c>
      <c r="K124" s="123" t="str">
        <f t="shared" si="50"/>
        <v/>
      </c>
      <c r="L124" s="123" t="str">
        <f t="shared" si="51"/>
        <v/>
      </c>
      <c r="M124" s="124" t="str">
        <f t="shared" si="52"/>
        <v/>
      </c>
      <c r="N124" s="125" t="str">
        <f t="shared" si="53"/>
        <v/>
      </c>
      <c r="O124" s="133" t="str">
        <f t="shared" si="54"/>
        <v/>
      </c>
      <c r="P124" s="127" t="str">
        <f t="shared" si="55"/>
        <v/>
      </c>
    </row>
    <row r="125" spans="1:16" x14ac:dyDescent="0.25">
      <c r="A125" s="132">
        <v>104</v>
      </c>
      <c r="B125" s="122" t="str">
        <f t="shared" si="42"/>
        <v/>
      </c>
      <c r="C125" s="123" t="str">
        <f t="shared" si="43"/>
        <v/>
      </c>
      <c r="D125" s="123" t="str">
        <f t="shared" si="44"/>
        <v/>
      </c>
      <c r="E125" s="124" t="str">
        <f t="shared" si="45"/>
        <v/>
      </c>
      <c r="F125" s="125" t="str">
        <f t="shared" si="46"/>
        <v/>
      </c>
      <c r="G125" s="133" t="str">
        <f t="shared" si="47"/>
        <v/>
      </c>
      <c r="H125" s="127" t="str">
        <f t="shared" si="48"/>
        <v/>
      </c>
      <c r="J125" s="122" t="str">
        <f t="shared" si="49"/>
        <v/>
      </c>
      <c r="K125" s="123" t="str">
        <f t="shared" si="50"/>
        <v/>
      </c>
      <c r="L125" s="123" t="str">
        <f t="shared" si="51"/>
        <v/>
      </c>
      <c r="M125" s="124" t="str">
        <f t="shared" si="52"/>
        <v/>
      </c>
      <c r="N125" s="125" t="str">
        <f t="shared" si="53"/>
        <v/>
      </c>
      <c r="O125" s="133" t="str">
        <f t="shared" si="54"/>
        <v/>
      </c>
      <c r="P125" s="127" t="str">
        <f t="shared" si="55"/>
        <v/>
      </c>
    </row>
    <row r="126" spans="1:16" x14ac:dyDescent="0.25">
      <c r="A126" s="132">
        <v>105</v>
      </c>
      <c r="B126" s="122" t="str">
        <f t="shared" si="42"/>
        <v/>
      </c>
      <c r="C126" s="123" t="str">
        <f t="shared" si="43"/>
        <v/>
      </c>
      <c r="D126" s="123" t="str">
        <f t="shared" si="44"/>
        <v/>
      </c>
      <c r="E126" s="124" t="str">
        <f t="shared" si="45"/>
        <v/>
      </c>
      <c r="F126" s="125" t="str">
        <f t="shared" si="46"/>
        <v/>
      </c>
      <c r="G126" s="133" t="str">
        <f t="shared" si="47"/>
        <v/>
      </c>
      <c r="H126" s="127" t="str">
        <f t="shared" si="48"/>
        <v/>
      </c>
      <c r="J126" s="122" t="str">
        <f t="shared" si="49"/>
        <v/>
      </c>
      <c r="K126" s="123" t="str">
        <f t="shared" si="50"/>
        <v/>
      </c>
      <c r="L126" s="123" t="str">
        <f t="shared" si="51"/>
        <v/>
      </c>
      <c r="M126" s="124" t="str">
        <f t="shared" si="52"/>
        <v/>
      </c>
      <c r="N126" s="125" t="str">
        <f t="shared" si="53"/>
        <v/>
      </c>
      <c r="O126" s="133" t="str">
        <f t="shared" si="54"/>
        <v/>
      </c>
      <c r="P126" s="127" t="str">
        <f t="shared" si="55"/>
        <v/>
      </c>
    </row>
    <row r="127" spans="1:16" x14ac:dyDescent="0.25">
      <c r="A127" s="132">
        <v>106</v>
      </c>
      <c r="B127" s="122" t="str">
        <f t="shared" si="42"/>
        <v/>
      </c>
      <c r="C127" s="123" t="str">
        <f t="shared" si="43"/>
        <v/>
      </c>
      <c r="D127" s="123" t="str">
        <f t="shared" si="44"/>
        <v/>
      </c>
      <c r="E127" s="124" t="str">
        <f t="shared" si="45"/>
        <v/>
      </c>
      <c r="F127" s="125" t="str">
        <f t="shared" si="46"/>
        <v/>
      </c>
      <c r="G127" s="133" t="str">
        <f t="shared" si="47"/>
        <v/>
      </c>
      <c r="H127" s="127" t="str">
        <f t="shared" si="48"/>
        <v/>
      </c>
      <c r="J127" s="122" t="str">
        <f t="shared" si="49"/>
        <v/>
      </c>
      <c r="K127" s="123" t="str">
        <f t="shared" si="50"/>
        <v/>
      </c>
      <c r="L127" s="123" t="str">
        <f t="shared" si="51"/>
        <v/>
      </c>
      <c r="M127" s="124" t="str">
        <f t="shared" si="52"/>
        <v/>
      </c>
      <c r="N127" s="125" t="str">
        <f t="shared" si="53"/>
        <v/>
      </c>
      <c r="O127" s="133" t="str">
        <f t="shared" si="54"/>
        <v/>
      </c>
      <c r="P127" s="127" t="str">
        <f t="shared" si="55"/>
        <v/>
      </c>
    </row>
    <row r="128" spans="1:16" x14ac:dyDescent="0.25">
      <c r="A128" s="132">
        <v>107</v>
      </c>
      <c r="B128" s="122" t="str">
        <f t="shared" si="42"/>
        <v/>
      </c>
      <c r="C128" s="123" t="str">
        <f t="shared" si="43"/>
        <v/>
      </c>
      <c r="D128" s="123" t="str">
        <f t="shared" si="44"/>
        <v/>
      </c>
      <c r="E128" s="124" t="str">
        <f t="shared" si="45"/>
        <v/>
      </c>
      <c r="F128" s="125" t="str">
        <f t="shared" si="46"/>
        <v/>
      </c>
      <c r="G128" s="133" t="str">
        <f t="shared" si="47"/>
        <v/>
      </c>
      <c r="H128" s="127" t="str">
        <f t="shared" si="48"/>
        <v/>
      </c>
      <c r="J128" s="122" t="str">
        <f t="shared" si="49"/>
        <v/>
      </c>
      <c r="K128" s="123" t="str">
        <f t="shared" si="50"/>
        <v/>
      </c>
      <c r="L128" s="123" t="str">
        <f t="shared" si="51"/>
        <v/>
      </c>
      <c r="M128" s="124" t="str">
        <f t="shared" si="52"/>
        <v/>
      </c>
      <c r="N128" s="125" t="str">
        <f t="shared" si="53"/>
        <v/>
      </c>
      <c r="O128" s="133" t="str">
        <f t="shared" si="54"/>
        <v/>
      </c>
      <c r="P128" s="127" t="str">
        <f t="shared" si="55"/>
        <v/>
      </c>
    </row>
    <row r="129" spans="1:16" x14ac:dyDescent="0.25">
      <c r="A129" s="132">
        <v>108</v>
      </c>
      <c r="B129" s="122" t="str">
        <f t="shared" si="42"/>
        <v/>
      </c>
      <c r="C129" s="123" t="str">
        <f t="shared" si="43"/>
        <v/>
      </c>
      <c r="D129" s="123" t="str">
        <f t="shared" si="44"/>
        <v/>
      </c>
      <c r="E129" s="124" t="str">
        <f t="shared" si="45"/>
        <v/>
      </c>
      <c r="F129" s="125" t="str">
        <f t="shared" si="46"/>
        <v/>
      </c>
      <c r="G129" s="133" t="str">
        <f t="shared" si="47"/>
        <v/>
      </c>
      <c r="H129" s="127" t="str">
        <f t="shared" si="48"/>
        <v/>
      </c>
      <c r="J129" s="122" t="str">
        <f t="shared" si="49"/>
        <v/>
      </c>
      <c r="K129" s="123" t="str">
        <f t="shared" si="50"/>
        <v/>
      </c>
      <c r="L129" s="123" t="str">
        <f t="shared" si="51"/>
        <v/>
      </c>
      <c r="M129" s="124" t="str">
        <f t="shared" si="52"/>
        <v/>
      </c>
      <c r="N129" s="125" t="str">
        <f t="shared" si="53"/>
        <v/>
      </c>
      <c r="O129" s="133" t="str">
        <f t="shared" si="54"/>
        <v/>
      </c>
      <c r="P129" s="127" t="str">
        <f t="shared" si="55"/>
        <v/>
      </c>
    </row>
    <row r="130" spans="1:16" x14ac:dyDescent="0.25">
      <c r="A130" s="132">
        <v>109</v>
      </c>
      <c r="B130" s="122" t="str">
        <f t="shared" si="42"/>
        <v/>
      </c>
      <c r="C130" s="123" t="str">
        <f t="shared" si="43"/>
        <v/>
      </c>
      <c r="D130" s="123" t="str">
        <f t="shared" si="44"/>
        <v/>
      </c>
      <c r="E130" s="124" t="str">
        <f t="shared" si="45"/>
        <v/>
      </c>
      <c r="F130" s="125" t="str">
        <f t="shared" si="46"/>
        <v/>
      </c>
      <c r="G130" s="133" t="str">
        <f t="shared" si="47"/>
        <v/>
      </c>
      <c r="H130" s="127" t="str">
        <f t="shared" si="48"/>
        <v/>
      </c>
      <c r="J130" s="122" t="str">
        <f t="shared" si="49"/>
        <v/>
      </c>
      <c r="K130" s="123" t="str">
        <f t="shared" si="50"/>
        <v/>
      </c>
      <c r="L130" s="123" t="str">
        <f t="shared" si="51"/>
        <v/>
      </c>
      <c r="M130" s="124" t="str">
        <f t="shared" si="52"/>
        <v/>
      </c>
      <c r="N130" s="125" t="str">
        <f t="shared" si="53"/>
        <v/>
      </c>
      <c r="O130" s="133" t="str">
        <f t="shared" si="54"/>
        <v/>
      </c>
      <c r="P130" s="127" t="str">
        <f t="shared" si="55"/>
        <v/>
      </c>
    </row>
    <row r="131" spans="1:16" x14ac:dyDescent="0.25">
      <c r="A131" s="132">
        <v>110</v>
      </c>
      <c r="B131" s="122" t="str">
        <f t="shared" si="42"/>
        <v/>
      </c>
      <c r="C131" s="123" t="str">
        <f t="shared" si="43"/>
        <v/>
      </c>
      <c r="D131" s="123" t="str">
        <f t="shared" si="44"/>
        <v/>
      </c>
      <c r="E131" s="124" t="str">
        <f t="shared" si="45"/>
        <v/>
      </c>
      <c r="F131" s="125" t="str">
        <f t="shared" si="46"/>
        <v/>
      </c>
      <c r="G131" s="133" t="str">
        <f t="shared" si="47"/>
        <v/>
      </c>
      <c r="H131" s="127" t="str">
        <f t="shared" si="48"/>
        <v/>
      </c>
      <c r="J131" s="122" t="str">
        <f t="shared" si="49"/>
        <v/>
      </c>
      <c r="K131" s="123" t="str">
        <f t="shared" si="50"/>
        <v/>
      </c>
      <c r="L131" s="123" t="str">
        <f t="shared" si="51"/>
        <v/>
      </c>
      <c r="M131" s="124" t="str">
        <f t="shared" si="52"/>
        <v/>
      </c>
      <c r="N131" s="125" t="str">
        <f t="shared" si="53"/>
        <v/>
      </c>
      <c r="O131" s="133" t="str">
        <f t="shared" si="54"/>
        <v/>
      </c>
      <c r="P131" s="127" t="str">
        <f t="shared" si="55"/>
        <v/>
      </c>
    </row>
    <row r="132" spans="1:16" x14ac:dyDescent="0.25">
      <c r="A132" s="132">
        <v>111</v>
      </c>
      <c r="B132" s="122" t="str">
        <f t="shared" si="42"/>
        <v/>
      </c>
      <c r="C132" s="123" t="str">
        <f t="shared" si="43"/>
        <v/>
      </c>
      <c r="D132" s="123" t="str">
        <f t="shared" si="44"/>
        <v/>
      </c>
      <c r="E132" s="124" t="str">
        <f t="shared" si="45"/>
        <v/>
      </c>
      <c r="F132" s="125" t="str">
        <f t="shared" si="46"/>
        <v/>
      </c>
      <c r="G132" s="133" t="str">
        <f t="shared" si="47"/>
        <v/>
      </c>
      <c r="H132" s="127" t="str">
        <f t="shared" si="48"/>
        <v/>
      </c>
      <c r="J132" s="122" t="str">
        <f t="shared" si="49"/>
        <v/>
      </c>
      <c r="K132" s="123" t="str">
        <f t="shared" si="50"/>
        <v/>
      </c>
      <c r="L132" s="123" t="str">
        <f t="shared" si="51"/>
        <v/>
      </c>
      <c r="M132" s="124" t="str">
        <f t="shared" si="52"/>
        <v/>
      </c>
      <c r="N132" s="125" t="str">
        <f t="shared" si="53"/>
        <v/>
      </c>
      <c r="O132" s="133" t="str">
        <f t="shared" si="54"/>
        <v/>
      </c>
      <c r="P132" s="127" t="str">
        <f t="shared" si="55"/>
        <v/>
      </c>
    </row>
    <row r="133" spans="1:16" x14ac:dyDescent="0.25">
      <c r="A133" s="132">
        <v>112</v>
      </c>
      <c r="B133" s="122" t="str">
        <f t="shared" si="42"/>
        <v/>
      </c>
      <c r="C133" s="123" t="str">
        <f t="shared" si="43"/>
        <v/>
      </c>
      <c r="D133" s="123" t="str">
        <f t="shared" si="44"/>
        <v/>
      </c>
      <c r="E133" s="124" t="str">
        <f t="shared" si="45"/>
        <v/>
      </c>
      <c r="F133" s="125" t="str">
        <f t="shared" si="46"/>
        <v/>
      </c>
      <c r="G133" s="133" t="str">
        <f t="shared" si="47"/>
        <v/>
      </c>
      <c r="H133" s="127" t="str">
        <f t="shared" si="48"/>
        <v/>
      </c>
      <c r="J133" s="122" t="str">
        <f t="shared" si="49"/>
        <v/>
      </c>
      <c r="K133" s="123" t="str">
        <f t="shared" si="50"/>
        <v/>
      </c>
      <c r="L133" s="123" t="str">
        <f t="shared" si="51"/>
        <v/>
      </c>
      <c r="M133" s="124" t="str">
        <f t="shared" si="52"/>
        <v/>
      </c>
      <c r="N133" s="125" t="str">
        <f t="shared" si="53"/>
        <v/>
      </c>
      <c r="O133" s="133" t="str">
        <f t="shared" si="54"/>
        <v/>
      </c>
      <c r="P133" s="127" t="str">
        <f t="shared" si="55"/>
        <v/>
      </c>
    </row>
    <row r="134" spans="1:16" x14ac:dyDescent="0.25">
      <c r="A134" s="132">
        <v>113</v>
      </c>
      <c r="B134" s="122" t="str">
        <f t="shared" si="42"/>
        <v/>
      </c>
      <c r="C134" s="123" t="str">
        <f t="shared" si="43"/>
        <v/>
      </c>
      <c r="D134" s="123" t="str">
        <f t="shared" si="44"/>
        <v/>
      </c>
      <c r="E134" s="124" t="str">
        <f t="shared" si="45"/>
        <v/>
      </c>
      <c r="F134" s="125" t="str">
        <f t="shared" si="46"/>
        <v/>
      </c>
      <c r="G134" s="133" t="str">
        <f t="shared" si="47"/>
        <v/>
      </c>
      <c r="H134" s="127" t="str">
        <f t="shared" si="48"/>
        <v/>
      </c>
      <c r="J134" s="122" t="str">
        <f t="shared" si="49"/>
        <v/>
      </c>
      <c r="K134" s="123" t="str">
        <f t="shared" si="50"/>
        <v/>
      </c>
      <c r="L134" s="123" t="str">
        <f t="shared" si="51"/>
        <v/>
      </c>
      <c r="M134" s="124" t="str">
        <f t="shared" si="52"/>
        <v/>
      </c>
      <c r="N134" s="125" t="str">
        <f t="shared" si="53"/>
        <v/>
      </c>
      <c r="O134" s="133" t="str">
        <f t="shared" si="54"/>
        <v/>
      </c>
      <c r="P134" s="127" t="str">
        <f t="shared" si="55"/>
        <v/>
      </c>
    </row>
    <row r="135" spans="1:16" x14ac:dyDescent="0.25">
      <c r="A135" s="132">
        <v>114</v>
      </c>
      <c r="B135" s="122" t="str">
        <f t="shared" si="42"/>
        <v/>
      </c>
      <c r="C135" s="123" t="str">
        <f t="shared" si="43"/>
        <v/>
      </c>
      <c r="D135" s="123" t="str">
        <f t="shared" si="44"/>
        <v/>
      </c>
      <c r="E135" s="124" t="str">
        <f t="shared" si="45"/>
        <v/>
      </c>
      <c r="F135" s="125" t="str">
        <f t="shared" si="46"/>
        <v/>
      </c>
      <c r="G135" s="133" t="str">
        <f t="shared" si="47"/>
        <v/>
      </c>
      <c r="H135" s="127" t="str">
        <f t="shared" si="48"/>
        <v/>
      </c>
      <c r="J135" s="122" t="str">
        <f t="shared" si="49"/>
        <v/>
      </c>
      <c r="K135" s="123" t="str">
        <f t="shared" si="50"/>
        <v/>
      </c>
      <c r="L135" s="123" t="str">
        <f t="shared" si="51"/>
        <v/>
      </c>
      <c r="M135" s="124" t="str">
        <f t="shared" si="52"/>
        <v/>
      </c>
      <c r="N135" s="125" t="str">
        <f t="shared" si="53"/>
        <v/>
      </c>
      <c r="O135" s="133" t="str">
        <f t="shared" si="54"/>
        <v/>
      </c>
      <c r="P135" s="127" t="str">
        <f t="shared" si="55"/>
        <v/>
      </c>
    </row>
    <row r="136" spans="1:16" x14ac:dyDescent="0.25">
      <c r="A136" s="132">
        <v>115</v>
      </c>
      <c r="B136" s="122" t="str">
        <f t="shared" si="42"/>
        <v/>
      </c>
      <c r="C136" s="123" t="str">
        <f t="shared" si="43"/>
        <v/>
      </c>
      <c r="D136" s="123" t="str">
        <f t="shared" si="44"/>
        <v/>
      </c>
      <c r="E136" s="124" t="str">
        <f t="shared" si="45"/>
        <v/>
      </c>
      <c r="F136" s="125" t="str">
        <f t="shared" si="46"/>
        <v/>
      </c>
      <c r="G136" s="133" t="str">
        <f t="shared" si="47"/>
        <v/>
      </c>
      <c r="H136" s="127" t="str">
        <f t="shared" si="48"/>
        <v/>
      </c>
      <c r="J136" s="122" t="str">
        <f t="shared" si="49"/>
        <v/>
      </c>
      <c r="K136" s="123" t="str">
        <f t="shared" si="50"/>
        <v/>
      </c>
      <c r="L136" s="123" t="str">
        <f t="shared" si="51"/>
        <v/>
      </c>
      <c r="M136" s="124" t="str">
        <f t="shared" si="52"/>
        <v/>
      </c>
      <c r="N136" s="125" t="str">
        <f t="shared" si="53"/>
        <v/>
      </c>
      <c r="O136" s="133" t="str">
        <f t="shared" si="54"/>
        <v/>
      </c>
      <c r="P136" s="127" t="str">
        <f t="shared" si="55"/>
        <v/>
      </c>
    </row>
    <row r="137" spans="1:16" x14ac:dyDescent="0.25">
      <c r="A137" s="132">
        <v>116</v>
      </c>
      <c r="B137" s="122" t="str">
        <f t="shared" si="42"/>
        <v/>
      </c>
      <c r="C137" s="123" t="str">
        <f t="shared" si="43"/>
        <v/>
      </c>
      <c r="D137" s="123" t="str">
        <f t="shared" si="44"/>
        <v/>
      </c>
      <c r="E137" s="124" t="str">
        <f t="shared" si="45"/>
        <v/>
      </c>
      <c r="F137" s="125" t="str">
        <f t="shared" si="46"/>
        <v/>
      </c>
      <c r="G137" s="133" t="str">
        <f t="shared" si="47"/>
        <v/>
      </c>
      <c r="H137" s="127" t="str">
        <f t="shared" si="48"/>
        <v/>
      </c>
      <c r="J137" s="122" t="str">
        <f t="shared" si="49"/>
        <v/>
      </c>
      <c r="K137" s="123" t="str">
        <f t="shared" si="50"/>
        <v/>
      </c>
      <c r="L137" s="123" t="str">
        <f t="shared" si="51"/>
        <v/>
      </c>
      <c r="M137" s="124" t="str">
        <f t="shared" si="52"/>
        <v/>
      </c>
      <c r="N137" s="125" t="str">
        <f t="shared" si="53"/>
        <v/>
      </c>
      <c r="O137" s="133" t="str">
        <f t="shared" si="54"/>
        <v/>
      </c>
      <c r="P137" s="127" t="str">
        <f t="shared" si="55"/>
        <v/>
      </c>
    </row>
    <row r="138" spans="1:16" x14ac:dyDescent="0.25">
      <c r="A138" s="132">
        <v>117</v>
      </c>
      <c r="B138" s="122" t="str">
        <f t="shared" si="42"/>
        <v/>
      </c>
      <c r="C138" s="123" t="str">
        <f t="shared" si="43"/>
        <v/>
      </c>
      <c r="D138" s="123" t="str">
        <f t="shared" si="44"/>
        <v/>
      </c>
      <c r="E138" s="124" t="str">
        <f t="shared" si="45"/>
        <v/>
      </c>
      <c r="F138" s="125" t="str">
        <f t="shared" si="46"/>
        <v/>
      </c>
      <c r="G138" s="133" t="str">
        <f t="shared" si="47"/>
        <v/>
      </c>
      <c r="H138" s="127" t="str">
        <f t="shared" si="48"/>
        <v/>
      </c>
      <c r="J138" s="122" t="str">
        <f t="shared" si="49"/>
        <v/>
      </c>
      <c r="K138" s="123" t="str">
        <f t="shared" si="50"/>
        <v/>
      </c>
      <c r="L138" s="123" t="str">
        <f t="shared" si="51"/>
        <v/>
      </c>
      <c r="M138" s="124" t="str">
        <f t="shared" si="52"/>
        <v/>
      </c>
      <c r="N138" s="125" t="str">
        <f t="shared" si="53"/>
        <v/>
      </c>
      <c r="O138" s="133" t="str">
        <f t="shared" si="54"/>
        <v/>
      </c>
      <c r="P138" s="127" t="str">
        <f t="shared" si="55"/>
        <v/>
      </c>
    </row>
    <row r="139" spans="1:16" x14ac:dyDescent="0.25">
      <c r="A139" s="132">
        <v>118</v>
      </c>
      <c r="B139" s="122" t="str">
        <f t="shared" si="42"/>
        <v/>
      </c>
      <c r="C139" s="123" t="str">
        <f t="shared" si="43"/>
        <v/>
      </c>
      <c r="D139" s="123" t="str">
        <f t="shared" si="44"/>
        <v/>
      </c>
      <c r="E139" s="124" t="str">
        <f t="shared" si="45"/>
        <v/>
      </c>
      <c r="F139" s="125" t="str">
        <f t="shared" si="46"/>
        <v/>
      </c>
      <c r="G139" s="133" t="str">
        <f t="shared" si="47"/>
        <v/>
      </c>
      <c r="H139" s="127" t="str">
        <f t="shared" si="48"/>
        <v/>
      </c>
      <c r="J139" s="122" t="str">
        <f t="shared" si="49"/>
        <v/>
      </c>
      <c r="K139" s="123" t="str">
        <f t="shared" si="50"/>
        <v/>
      </c>
      <c r="L139" s="123" t="str">
        <f t="shared" si="51"/>
        <v/>
      </c>
      <c r="M139" s="124" t="str">
        <f t="shared" si="52"/>
        <v/>
      </c>
      <c r="N139" s="125" t="str">
        <f t="shared" si="53"/>
        <v/>
      </c>
      <c r="O139" s="133" t="str">
        <f t="shared" si="54"/>
        <v/>
      </c>
      <c r="P139" s="127" t="str">
        <f t="shared" si="55"/>
        <v/>
      </c>
    </row>
    <row r="140" spans="1:16" x14ac:dyDescent="0.25">
      <c r="A140" s="132">
        <v>119</v>
      </c>
      <c r="B140" s="122" t="str">
        <f t="shared" si="42"/>
        <v/>
      </c>
      <c r="C140" s="123" t="str">
        <f t="shared" si="43"/>
        <v/>
      </c>
      <c r="D140" s="123" t="str">
        <f t="shared" si="44"/>
        <v/>
      </c>
      <c r="E140" s="124" t="str">
        <f t="shared" si="45"/>
        <v/>
      </c>
      <c r="F140" s="125" t="str">
        <f t="shared" si="46"/>
        <v/>
      </c>
      <c r="G140" s="133" t="str">
        <f t="shared" si="47"/>
        <v/>
      </c>
      <c r="H140" s="127" t="str">
        <f t="shared" si="48"/>
        <v/>
      </c>
      <c r="J140" s="122" t="str">
        <f t="shared" si="49"/>
        <v/>
      </c>
      <c r="K140" s="123" t="str">
        <f t="shared" si="50"/>
        <v/>
      </c>
      <c r="L140" s="123" t="str">
        <f t="shared" si="51"/>
        <v/>
      </c>
      <c r="M140" s="124" t="str">
        <f t="shared" si="52"/>
        <v/>
      </c>
      <c r="N140" s="125" t="str">
        <f t="shared" si="53"/>
        <v/>
      </c>
      <c r="O140" s="133" t="str">
        <f t="shared" si="54"/>
        <v/>
      </c>
      <c r="P140" s="127" t="str">
        <f t="shared" si="55"/>
        <v/>
      </c>
    </row>
    <row r="141" spans="1:16" x14ac:dyDescent="0.25">
      <c r="A141" s="132">
        <v>120</v>
      </c>
      <c r="B141" s="122" t="str">
        <f t="shared" si="42"/>
        <v/>
      </c>
      <c r="C141" s="123" t="str">
        <f t="shared" si="43"/>
        <v/>
      </c>
      <c r="D141" s="123" t="str">
        <f t="shared" si="44"/>
        <v/>
      </c>
      <c r="E141" s="124" t="str">
        <f t="shared" si="45"/>
        <v/>
      </c>
      <c r="F141" s="125" t="str">
        <f t="shared" si="46"/>
        <v/>
      </c>
      <c r="G141" s="133" t="str">
        <f t="shared" si="47"/>
        <v/>
      </c>
      <c r="H141" s="127" t="str">
        <f t="shared" si="48"/>
        <v/>
      </c>
      <c r="J141" s="122" t="str">
        <f t="shared" si="49"/>
        <v/>
      </c>
      <c r="K141" s="123" t="str">
        <f t="shared" si="50"/>
        <v/>
      </c>
      <c r="L141" s="123" t="str">
        <f t="shared" si="51"/>
        <v/>
      </c>
      <c r="M141" s="124" t="str">
        <f t="shared" si="52"/>
        <v/>
      </c>
      <c r="N141" s="125" t="str">
        <f t="shared" si="53"/>
        <v/>
      </c>
      <c r="O141" s="133" t="str">
        <f t="shared" si="54"/>
        <v/>
      </c>
      <c r="P141" s="127" t="str">
        <f t="shared" si="55"/>
        <v/>
      </c>
    </row>
  </sheetData>
  <sheetProtection algorithmName="SHA-512" hashValue="otXg+FsRRT3XJMyjPGZ5uuMchDns5P/3W5AIUwqPUmbTy0YhRzoELp5TW8eEJ5Ig7eQpw6DwE7cCyUb889mcfQ==" saltValue="Ebw/F4jfWs8yVaPwL/1sng==" spinCount="100000" sheet="1" objects="1" scenarios="1"/>
  <mergeCells count="7">
    <mergeCell ref="B1:P1"/>
    <mergeCell ref="C3:D3"/>
    <mergeCell ref="J3:P4"/>
    <mergeCell ref="B11:D12"/>
    <mergeCell ref="J11:L12"/>
    <mergeCell ref="J5:P7"/>
    <mergeCell ref="J8:P9"/>
  </mergeCells>
  <conditionalFormatting sqref="B5:C9 B22:C141">
    <cfRule type="expression" dxfId="11" priority="4">
      <formula>$C5&lt;$D5</formula>
    </cfRule>
    <cfRule type="expression" dxfId="10" priority="5">
      <formula>$C5=$D5</formula>
    </cfRule>
    <cfRule type="expression" dxfId="9" priority="6">
      <formula>$C5&gt;$D5</formula>
    </cfRule>
  </conditionalFormatting>
  <conditionalFormatting sqref="D5:E9 D22:E141">
    <cfRule type="expression" dxfId="8" priority="1">
      <formula>$C5&gt;$D5</formula>
    </cfRule>
    <cfRule type="expression" dxfId="7" priority="2">
      <formula>$C5=$D5</formula>
    </cfRule>
    <cfRule type="expression" dxfId="6" priority="3">
      <formula>$C5&lt;$D5</formula>
    </cfRule>
  </conditionalFormatting>
  <conditionalFormatting sqref="J22:K141">
    <cfRule type="expression" dxfId="5" priority="7">
      <formula>$K22&lt;$L22</formula>
    </cfRule>
    <cfRule type="expression" dxfId="4" priority="8">
      <formula>$K22=$L22</formula>
    </cfRule>
    <cfRule type="expression" dxfId="3" priority="9">
      <formula>$K22&gt;$L22</formula>
    </cfRule>
  </conditionalFormatting>
  <conditionalFormatting sqref="L22:M141">
    <cfRule type="expression" dxfId="2" priority="10">
      <formula>$K22&gt;$L22</formula>
    </cfRule>
    <cfRule type="expression" dxfId="1" priority="11">
      <formula>$K22=$L22</formula>
    </cfRule>
    <cfRule type="expression" dxfId="0" priority="12">
      <formula>$K22&lt;$L22</formula>
    </cfRule>
  </conditionalFormatting>
  <dataValidations count="1">
    <dataValidation type="list" allowBlank="1" showInputMessage="1" showErrorMessage="1" sqref="E3 B3">
      <formula1>team</formula1>
    </dataValidation>
  </dataValidations>
  <hyperlinks>
    <hyperlink ref="J5:P9" r:id="rId1" display="            @xushnudbek"/>
  </hyperlinks>
  <pageMargins left="0.7" right="0.7" top="0.75" bottom="0.75" header="0.3" footer="0.3"/>
  <pageSetup paperSize="9" scale="46" orientation="portrait" r:id="rId2"/>
  <headerFooter>
    <oddFooter>&amp;Cwww.excely.com (c) 2018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36</vt:i4>
      </vt:variant>
    </vt:vector>
  </HeadingPairs>
  <TitlesOfParts>
    <vt:vector size="41" baseType="lpstr">
      <vt:lpstr>T</vt:lpstr>
      <vt:lpstr>DB</vt:lpstr>
      <vt:lpstr>Settings</vt:lpstr>
      <vt:lpstr>2018 World Cup</vt:lpstr>
      <vt:lpstr>Statistics</vt:lpstr>
      <vt:lpstr>db</vt:lpstr>
      <vt:lpstr>db_fifarank</vt:lpstr>
      <vt:lpstr>Statistics!db_t1</vt:lpstr>
      <vt:lpstr>db_t1</vt:lpstr>
      <vt:lpstr>Statistics!db_t1_vs_t2</vt:lpstr>
      <vt:lpstr>db_t1_vs_t2</vt:lpstr>
      <vt:lpstr>Statistics!db_t2</vt:lpstr>
      <vt:lpstr>db_t2</vt:lpstr>
      <vt:lpstr>gmt_delta</vt:lpstr>
      <vt:lpstr>lang</vt:lpstr>
      <vt:lpstr>lang_list</vt:lpstr>
      <vt:lpstr>my_team</vt:lpstr>
      <vt:lpstr>T</vt:lpstr>
      <vt:lpstr>Statistics!t1_dif</vt:lpstr>
      <vt:lpstr>t1_dif</vt:lpstr>
      <vt:lpstr>Statistics!t1_draw</vt:lpstr>
      <vt:lpstr>t1_draw</vt:lpstr>
      <vt:lpstr>Statistics!t1_lose</vt:lpstr>
      <vt:lpstr>t1_lose</vt:lpstr>
      <vt:lpstr>t1_total</vt:lpstr>
      <vt:lpstr>Statistics!t1_win</vt:lpstr>
      <vt:lpstr>t1_win</vt:lpstr>
      <vt:lpstr>Statistics!t2_dif</vt:lpstr>
      <vt:lpstr>t2_dif</vt:lpstr>
      <vt:lpstr>Statistics!t2_draw</vt:lpstr>
      <vt:lpstr>t2_draw</vt:lpstr>
      <vt:lpstr>Statistics!t2_lose</vt:lpstr>
      <vt:lpstr>t2_lose</vt:lpstr>
      <vt:lpstr>t2_total</vt:lpstr>
      <vt:lpstr>Statistics!t2_win</vt:lpstr>
      <vt:lpstr>t2_win</vt:lpstr>
      <vt:lpstr>Statistics!team</vt:lpstr>
      <vt:lpstr>team</vt:lpstr>
      <vt:lpstr>team1</vt:lpstr>
      <vt:lpstr>team2</vt:lpstr>
      <vt:lpstr>teams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2018 FIFA World Cup Schedule</dc:title>
  <dc:creator>Denys Kozyr</dc:creator>
  <cp:keywords>fifa;world cup;schedule;spreadsheet</cp:keywords>
  <cp:lastModifiedBy>User</cp:lastModifiedBy>
  <cp:lastPrinted>2018-05-27T16:31:44Z</cp:lastPrinted>
  <dcterms:created xsi:type="dcterms:W3CDTF">2017-12-27T19:32:51Z</dcterms:created>
  <dcterms:modified xsi:type="dcterms:W3CDTF">2018-05-28T07:25:02Z</dcterms:modified>
</cp:coreProperties>
</file>